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15"/>
  </bookViews>
  <sheets>
    <sheet name="1.mell." sheetId="1" r:id="rId1"/>
    <sheet name="2.mell." sheetId="2" r:id="rId2"/>
    <sheet name="3.mell" sheetId="3" r:id="rId3"/>
    <sheet name="4.mell" sheetId="4" r:id="rId4"/>
    <sheet name="5a.mell" sheetId="5" state="hidden" r:id="rId5"/>
    <sheet name="gördülő" sheetId="6" state="hidden" r:id="rId6"/>
    <sheet name="5.mell" sheetId="7" r:id="rId7"/>
    <sheet name="1.tábla" sheetId="8" r:id="rId8"/>
    <sheet name="normatíva" sheetId="9" r:id="rId9"/>
    <sheet name="Folyás" sheetId="10" r:id="rId10"/>
    <sheet name="Gháza" sheetId="11" r:id="rId11"/>
    <sheet name="Polgár " sheetId="12" r:id="rId12"/>
    <sheet name="Kszk" sheetId="13" r:id="rId13"/>
    <sheet name="Tgyháza" sheetId="14" r:id="rId14"/>
    <sheet name="Margita" sheetId="15" r:id="rId15"/>
    <sheet name="Újtikos" sheetId="16" r:id="rId16"/>
  </sheets>
  <externalReferences>
    <externalReference r:id="rId19"/>
  </externalReferences>
  <definedNames>
    <definedName name="enczi">'[1]rszakfössz'!$D$123</definedName>
    <definedName name="_xlnm.Print_Titles" localSheetId="7">'1.tábla'!$A:$A,'1.tábla'!$1:$1</definedName>
    <definedName name="_xlnm.Print_Titles" localSheetId="1">'2.mell.'!$A:$A</definedName>
    <definedName name="_xlnm.Print_Area" localSheetId="0">'1.mell.'!$A$1:$G$38</definedName>
    <definedName name="_xlnm.Print_Area" localSheetId="4">'5a.mell'!$A$1:$O$34</definedName>
  </definedNames>
  <calcPr fullCalcOnLoad="1"/>
</workbook>
</file>

<file path=xl/sharedStrings.xml><?xml version="1.0" encoding="utf-8"?>
<sst xmlns="http://schemas.openxmlformats.org/spreadsheetml/2006/main" count="801" uniqueCount="448">
  <si>
    <t>megnevezés</t>
  </si>
  <si>
    <t>Összesen</t>
  </si>
  <si>
    <t xml:space="preserve">Tanács </t>
  </si>
  <si>
    <t>Kistérségi szolgáltató központ</t>
  </si>
  <si>
    <t>Működési kiadások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</si>
  <si>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</si>
  <si>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</si>
  <si>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</si>
  <si>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</si>
  <si>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</si>
  <si>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</si>
  <si>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Támogatás értékű működési kiadás</t>
  </si>
  <si>
    <t>Működésre átadott pénzeszköz</t>
  </si>
  <si>
    <t>általános tartalék</t>
  </si>
  <si>
    <t>Céltartalék</t>
  </si>
  <si>
    <t>Működési kiadások összesen</t>
  </si>
  <si>
    <t>Tartalékok összesen</t>
  </si>
  <si>
    <t>Kiadások összesen</t>
  </si>
  <si>
    <t>Kiadások</t>
  </si>
  <si>
    <t>Bevételek</t>
  </si>
  <si>
    <t>Intézményi működési bevételek</t>
  </si>
  <si>
    <t>Támogatás értékű működési bevételek</t>
  </si>
  <si>
    <t>Saját bevételek összesen</t>
  </si>
  <si>
    <t>Normatív állami támogatás</t>
  </si>
  <si>
    <t>Központi költségvetési támogatás össz.</t>
  </si>
  <si>
    <t>pénzmaradvány igénybevétel</t>
  </si>
  <si>
    <t>Bevételek összesen</t>
  </si>
  <si>
    <t>adatok ezer forintban</t>
  </si>
  <si>
    <t>engedélyezett létszám összesen</t>
  </si>
  <si>
    <t>Tanács összesen</t>
  </si>
  <si>
    <t>Ügyelet
862102</t>
  </si>
  <si>
    <t>HSZG
859922</t>
  </si>
  <si>
    <t>Jelzős HSZG
889923</t>
  </si>
  <si>
    <t>családsegítő
889924</t>
  </si>
  <si>
    <t>gyermekjóléti sz.
889201</t>
  </si>
  <si>
    <t>Támogató szolg.
889925</t>
  </si>
  <si>
    <t>szociális étkeztetés
889921</t>
  </si>
  <si>
    <t>szociális konyha</t>
  </si>
  <si>
    <t>Intéz,mény összesen</t>
  </si>
  <si>
    <t xml:space="preserve">Kistérség összesen 
</t>
  </si>
  <si>
    <t>besorolás szerinti illetmény</t>
  </si>
  <si>
    <t>garantált bérminimum miatti kiegészítés</t>
  </si>
  <si>
    <t>minimálbér miatti kiegészítés</t>
  </si>
  <si>
    <t>alapilletmény összesen</t>
  </si>
  <si>
    <t>Egyéb kötelező illetménypótlékok</t>
  </si>
  <si>
    <t>megosztott rendszeres személyi juttatás</t>
  </si>
  <si>
    <t>Rendszeres személyi juttatás</t>
  </si>
  <si>
    <t>Egyéb munkavégzéshez kapcsolódó juttatások</t>
  </si>
  <si>
    <t xml:space="preserve">Részmunkaidőben foglalk. munkavégzéshez kapcs. Juttat. </t>
  </si>
  <si>
    <t>Munkavégzéshez kapcsolódó juttatások</t>
  </si>
  <si>
    <t>Jubileumi jutalom</t>
  </si>
  <si>
    <t>Biztosítási díjak</t>
  </si>
  <si>
    <t>Foglalkoztatottak sajátos juttatásai</t>
  </si>
  <si>
    <t>Ruházati költségtérítés, hozzájárulás</t>
  </si>
  <si>
    <t>Közlekedési költségtérítés</t>
  </si>
  <si>
    <t>Étkezési hozzájárulás</t>
  </si>
  <si>
    <t>Egyéb költségtérítés és hozzájárulás</t>
  </si>
  <si>
    <t xml:space="preserve">Részmunkaidőben foglalk. személyhez kapcs. ktgtérítései </t>
  </si>
  <si>
    <t>Személyhez kapcsolódó ktgtérít.és hozzájár.</t>
  </si>
  <si>
    <t>megosztott nem rendszeres személyi juttatás</t>
  </si>
  <si>
    <t>Nem rendszeres személyi juttatások összesen</t>
  </si>
  <si>
    <t>Külső személyi juttatások</t>
  </si>
  <si>
    <t>Szociális hozzájárulási adó</t>
  </si>
  <si>
    <t>EHO</t>
  </si>
  <si>
    <t>Munkaadót terhelő járulékok</t>
  </si>
  <si>
    <t>Készlet beszerzés összesen</t>
  </si>
  <si>
    <t>Kommunikációs szolgáltatások összesen</t>
  </si>
  <si>
    <t>Különféle szolgáltatások összesen</t>
  </si>
  <si>
    <t>vásárolt közszolgáltatás</t>
  </si>
  <si>
    <t>Vásárolt termékek és szolgáltatások ÁFA</t>
  </si>
  <si>
    <t>Belföldi kiküldetés</t>
  </si>
  <si>
    <t>Reprezentáció</t>
  </si>
  <si>
    <t>Reklám és propaganda  kiadások</t>
  </si>
  <si>
    <t>Egyéb dologi kiadások</t>
  </si>
  <si>
    <t>megosztott dologi kiadás</t>
  </si>
  <si>
    <t>Dologi kiadások összesen</t>
  </si>
  <si>
    <t>Egyéb befizetési kötelezettség</t>
  </si>
  <si>
    <t xml:space="preserve">Különféle költségvetési befizetések </t>
  </si>
  <si>
    <t>Munkáltató által fizetett személyi jövedelemadó</t>
  </si>
  <si>
    <t>Rehabilitációs hozzájárulás</t>
  </si>
  <si>
    <t>Helyi adók, egyéb vám, illeték és adójellegű befizetések</t>
  </si>
  <si>
    <t>Díjak, egyéb  befizetések</t>
  </si>
  <si>
    <t>megosztott egyéb folyó kiadás</t>
  </si>
  <si>
    <t>Egyéb Folyó kiadások összesen</t>
  </si>
  <si>
    <t>Támogatásértékű működési kiadás helyi önkormányzatoknak és költségvetési szerveiknek</t>
  </si>
  <si>
    <t>Általános tartalék</t>
  </si>
  <si>
    <t xml:space="preserve"> Működési kiadások összesen</t>
  </si>
  <si>
    <t>Beruházási kiadások</t>
  </si>
  <si>
    <t>létszám</t>
  </si>
  <si>
    <t>intézményi működési bevétel</t>
  </si>
  <si>
    <t>Kiszámlázott termékek és szolgáltatások ÁFÁ-ja</t>
  </si>
  <si>
    <t xml:space="preserve">Működési célú pénzeszközátvételek államháztartáson kívülről </t>
  </si>
  <si>
    <t>Támogatásértékű működési bevétel központi költségvetési szervtől</t>
  </si>
  <si>
    <t>Támogatásértékű működési bevétel társadalombiztosítási alaptól</t>
  </si>
  <si>
    <t>Támogatásértékű működési bevétel elkülönített állami pénzalaptól</t>
  </si>
  <si>
    <t>Támogatásértékű működési bevétel helyi önkormányzatoktól és költségvetési szerveiktől</t>
  </si>
  <si>
    <t>Önkormányzatok tagdíj befizetése</t>
  </si>
  <si>
    <t xml:space="preserve">Támogatásértékű működési bevételek összesen </t>
  </si>
  <si>
    <t>Hitelek pénzforgalomnélküli bevételek összesen</t>
  </si>
  <si>
    <t>normatív  állami támogatás</t>
  </si>
  <si>
    <t>Bevétel - kiadás</t>
  </si>
  <si>
    <t>Pénzügyi szolgáltatások</t>
  </si>
  <si>
    <t>Kamatkiadások</t>
  </si>
  <si>
    <t xml:space="preserve">Működési célú pénzeszközátadások ÁHT-n kívülre </t>
  </si>
  <si>
    <t xml:space="preserve">Hozam- és kamatbevételek </t>
  </si>
  <si>
    <t>Előző évek  pénzmaradványának  igénybevétele</t>
  </si>
  <si>
    <t>Állami támogatások összesen</t>
  </si>
  <si>
    <t>Rendszeres személyi juttatások</t>
  </si>
  <si>
    <t>JNT-647 autóbusz</t>
  </si>
  <si>
    <t xml:space="preserve">JVF-340 autóbusz
</t>
  </si>
  <si>
    <t>Volkswagen Cady</t>
  </si>
  <si>
    <t>Intézmény finanszírozás</t>
  </si>
  <si>
    <t>KSZK központi irányítás</t>
  </si>
  <si>
    <t>megosztott munkaadót terhelő járulék</t>
  </si>
  <si>
    <t>Idősek nappali ellátása 881011</t>
  </si>
  <si>
    <t>munkahelyi étkezés</t>
  </si>
  <si>
    <t>Vendég étkezés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</si>
  <si>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</si>
  <si>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</si>
  <si>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</si>
  <si>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</si>
  <si>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</si>
  <si>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</si>
  <si>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</si>
  <si>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</si>
  <si>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</si>
  <si>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</si>
  <si>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</si>
  <si>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</si>
  <si>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</si>
  <si>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</si>
  <si>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 xml:space="preserve">  intézmények működési bevétele</t>
  </si>
  <si>
    <t xml:space="preserve">  Támogatás értékű működési bevétel TB alapoktól</t>
  </si>
  <si>
    <t xml:space="preserve">  Támogatás értékű működési bevételek összesen</t>
  </si>
  <si>
    <t xml:space="preserve"> Támogatások</t>
  </si>
  <si>
    <t xml:space="preserve">     Normatív támogatások</t>
  </si>
  <si>
    <t xml:space="preserve">  Támogatások összesen</t>
  </si>
  <si>
    <t>Pénzforgalmi bevételek összesen</t>
  </si>
  <si>
    <t xml:space="preserve">   Pénzmaradvány igénybevétele</t>
  </si>
  <si>
    <t>Bevételek mindösszesen</t>
  </si>
  <si>
    <t xml:space="preserve">  Támogatás ért. Műk. Bev. közp.ktgvet. szervtől</t>
  </si>
  <si>
    <t xml:space="preserve">  Támogatás ért.műk.bev. önkormányzatoktól</t>
  </si>
  <si>
    <t xml:space="preserve">    Személyi juttatás</t>
  </si>
  <si>
    <t xml:space="preserve">    Munkaadót terhelő járulékok</t>
  </si>
  <si>
    <t xml:space="preserve">    Dologi és egyéb folyó kiadások</t>
  </si>
  <si>
    <t xml:space="preserve">   Támogatás ért műk.kiadás önkormányzatoknak.</t>
  </si>
  <si>
    <t xml:space="preserve">    Szervezetek, rendezvények támogatása</t>
  </si>
  <si>
    <t>Pénzforgalmi kiadások összesen</t>
  </si>
  <si>
    <t>Kiegyenlítő, függő és átfutó bevételek</t>
  </si>
  <si>
    <t xml:space="preserve">   Általános tartalék</t>
  </si>
  <si>
    <t xml:space="preserve">   céltartalék</t>
  </si>
  <si>
    <t>Kiadások mindösszesen</t>
  </si>
  <si>
    <t>Működési bevételek összesen</t>
  </si>
  <si>
    <t xml:space="preserve"> </t>
  </si>
  <si>
    <t>Bevétel -kiadás</t>
  </si>
  <si>
    <t>Záró pénzkészlet</t>
  </si>
  <si>
    <t>Felhalmozási kiadások</t>
  </si>
  <si>
    <t>Felhalmozási bevételek</t>
  </si>
  <si>
    <t xml:space="preserve">                                             KIADÁSOK</t>
  </si>
  <si>
    <t xml:space="preserve">Működési kiadások </t>
  </si>
  <si>
    <t xml:space="preserve">Felhalmozási kiadások </t>
  </si>
  <si>
    <t>Költségvetési pénzforgalmi kiadások összesen</t>
  </si>
  <si>
    <t>Finanszírozási kiadások</t>
  </si>
  <si>
    <t>Pénzforgalmi kiadások</t>
  </si>
  <si>
    <t xml:space="preserve">Pénzforgalom nélküli kiadások </t>
  </si>
  <si>
    <t>Költségvetési pénzforgalom nélküli kiadások összesen</t>
  </si>
  <si>
    <t>Kiegyenlítő, függő, átfutó kiadások</t>
  </si>
  <si>
    <t>KIADÁSOK MINDÖSSZESEN</t>
  </si>
  <si>
    <t xml:space="preserve">                                                         BEVÉTELEK</t>
  </si>
  <si>
    <t xml:space="preserve">Működési bevételek </t>
  </si>
  <si>
    <t xml:space="preserve">               ebből működési célú kamatbevétel </t>
  </si>
  <si>
    <t>Támogatások, kiegészítések</t>
  </si>
  <si>
    <t xml:space="preserve">                     - Normatív támogatások</t>
  </si>
  <si>
    <t>Támogatások összesen</t>
  </si>
  <si>
    <t xml:space="preserve">Támogatási kölcsönök visszatérülése és igénybevétele </t>
  </si>
  <si>
    <t>Támogatási kölcsönök visszatérülése és igénybevétele összesen</t>
  </si>
  <si>
    <t>Költségvetési pénzforgalmi bevételek összesen</t>
  </si>
  <si>
    <t>Finanszírozási bevételek</t>
  </si>
  <si>
    <t>Pénzforgalmi bevételek</t>
  </si>
  <si>
    <t>Pénzforgalom nélküli bevételek összesen</t>
  </si>
  <si>
    <t>Kiegyenlítő, függő, átfutó bevételek</t>
  </si>
  <si>
    <t>BEVÉTELEK MINDÖSSZESEN</t>
  </si>
  <si>
    <t>Pénzforgalmi költségvetési bevételek és kiadások különbsége</t>
  </si>
  <si>
    <t xml:space="preserve">     Költségvetési hiány     (-)</t>
  </si>
  <si>
    <t xml:space="preserve">     Költségvetési többlet  (+)</t>
  </si>
  <si>
    <t>Igénybevett tartalékokkal korrigált költségvetési bevételek és kiadások különbsége</t>
  </si>
  <si>
    <t>Finanszírozási műveletek eredménye</t>
  </si>
  <si>
    <t>Aktív és passzív pénzügyi műveletek egyenlege</t>
  </si>
  <si>
    <t xml:space="preserve">     Személyi juttatások</t>
  </si>
  <si>
    <t xml:space="preserve">    Dologi kiadások és egyéb folyó kiadások</t>
  </si>
  <si>
    <t xml:space="preserve">     Működési célú támogatásértékű kiadások </t>
  </si>
  <si>
    <t xml:space="preserve">     Államháztartáson kívűli működési célú pénzeszközátadás</t>
  </si>
  <si>
    <t xml:space="preserve">     Általános tartalék</t>
  </si>
  <si>
    <t xml:space="preserve">     Céltartalék</t>
  </si>
  <si>
    <t xml:space="preserve">    Munkaadókat terhelő járulékok </t>
  </si>
  <si>
    <t>Működési célú támogatásértékű bevételek</t>
  </si>
  <si>
    <t xml:space="preserve">           ebből önkormányzatok tagdíja</t>
  </si>
  <si>
    <t xml:space="preserve">      Működési célú előző évi pénzmaradvány igénybevétele</t>
  </si>
  <si>
    <t>Költségvetési pénzforgalom nélküli bevételek összesen</t>
  </si>
  <si>
    <t>Tanács</t>
  </si>
  <si>
    <t>1 fő</t>
  </si>
  <si>
    <t>MTV hatálya alá tartozó</t>
  </si>
  <si>
    <t>Intézmény vezető</t>
  </si>
  <si>
    <t>Közalkalmazott</t>
  </si>
  <si>
    <t>Működési célú bevételek és kiadások</t>
  </si>
  <si>
    <t>Intézmények működési bevételei</t>
  </si>
  <si>
    <t>Támogatás  értékű működési bevételek</t>
  </si>
  <si>
    <t>pénzmaradvány igénybevétele</t>
  </si>
  <si>
    <t>Működési bevétel összesen</t>
  </si>
  <si>
    <t>Központi költségvetési támogatás</t>
  </si>
  <si>
    <t>Működési kölcsön megtérülés</t>
  </si>
  <si>
    <t>2014. irányszám</t>
  </si>
  <si>
    <t>Személyi juttatások</t>
  </si>
  <si>
    <t>Támogatás értékű működési kiadások</t>
  </si>
  <si>
    <t>ÁHT-n kívülre átadott pénzeszk</t>
  </si>
  <si>
    <t>intézmény finanszírozás</t>
  </si>
  <si>
    <t>Működési kiadás összesen</t>
  </si>
  <si>
    <t>Felhalmozási célú bevételek és kiadások</t>
  </si>
  <si>
    <t xml:space="preserve">Felhalmozási bevétel </t>
  </si>
  <si>
    <t>Felhalmozási kiadás</t>
  </si>
  <si>
    <t>Kiadások összesenű</t>
  </si>
  <si>
    <t xml:space="preserve">Tanács
 </t>
  </si>
  <si>
    <t xml:space="preserve">Hivatal megsz.
</t>
  </si>
  <si>
    <t>Társulásos feladat ellátás támogatása</t>
  </si>
  <si>
    <t>Előző évi központi költségvetési kiegészítések</t>
  </si>
  <si>
    <t>Részmunkaidőben foglalk. Rendsz.szem. Juttat. Össz.</t>
  </si>
  <si>
    <t>Végkielégítés</t>
  </si>
  <si>
    <t>Egyéb sajátos bevételek</t>
  </si>
  <si>
    <t>Társulások normatív támogatása</t>
  </si>
  <si>
    <t>2013.évi eredeti előirányzat</t>
  </si>
  <si>
    <t>0,5 fő</t>
  </si>
  <si>
    <t>42,25 fő</t>
  </si>
  <si>
    <t>0,75 fő</t>
  </si>
  <si>
    <t>44 fő</t>
  </si>
  <si>
    <t>44,5 fő</t>
  </si>
  <si>
    <t>Kötelező feladatok</t>
  </si>
  <si>
    <t>önként vállalt feladatok</t>
  </si>
  <si>
    <t>2013. előirányzat</t>
  </si>
  <si>
    <t>2015. irányszám</t>
  </si>
  <si>
    <t>2013.01.01 nyitó pénzkészlet</t>
  </si>
  <si>
    <t>PKTT és intézménye</t>
  </si>
  <si>
    <t xml:space="preserve">     Társulások normatív támogatása</t>
  </si>
  <si>
    <t>40 fő</t>
  </si>
  <si>
    <t>4 fő</t>
  </si>
  <si>
    <t>40,5 fő</t>
  </si>
  <si>
    <t>eredeti előír</t>
  </si>
  <si>
    <t>teljesítés</t>
  </si>
  <si>
    <t>Munkáltatói Táppénz hozzájárulás</t>
  </si>
  <si>
    <t>közfoglalkoztatás</t>
  </si>
  <si>
    <t>egyéb központ támogatás ( bérkompenzáció )</t>
  </si>
  <si>
    <t>előirányzat</t>
  </si>
  <si>
    <t>Egyéb Közpnti támogatások</t>
  </si>
  <si>
    <t>Előző évi központi költségvetési kieg.</t>
  </si>
  <si>
    <t>39,25 fő</t>
  </si>
  <si>
    <t>Közfoglalkoztatás</t>
  </si>
  <si>
    <t>2,25 fő</t>
  </si>
  <si>
    <t>42,5 fő</t>
  </si>
  <si>
    <t xml:space="preserve"> létszám összesen</t>
  </si>
  <si>
    <t>43 fő</t>
  </si>
  <si>
    <t>teljesítés 2013. 06.30-ig</t>
  </si>
  <si>
    <t>teljesítés mértéke</t>
  </si>
  <si>
    <t xml:space="preserve">                    - Egyéb központi támogatás</t>
  </si>
  <si>
    <t xml:space="preserve">                    előző évi központi költségvetési kiegészítés</t>
  </si>
  <si>
    <t>Előző évi költségvetési kiegészítések</t>
  </si>
  <si>
    <t>egyéb központi támogatás</t>
  </si>
  <si>
    <t>0,5fő</t>
  </si>
  <si>
    <t xml:space="preserve">előirányzat </t>
  </si>
  <si>
    <t>38,5 fő</t>
  </si>
  <si>
    <t>39 fő</t>
  </si>
  <si>
    <t>A megszünéskor fennálló pénkészletet növelő követelések</t>
  </si>
  <si>
    <t xml:space="preserve">      kiszámlázott szolgáltatások összege ( busz )</t>
  </si>
  <si>
    <t xml:space="preserve">      Visszaigényelt ÁFA</t>
  </si>
  <si>
    <t xml:space="preserve">       Orvosi ügyelethez önkormányzati hozzájárulás</t>
  </si>
  <si>
    <t>Kötelezettségek ( megszűnésig teljesített szolgáltatások):</t>
  </si>
  <si>
    <t xml:space="preserve">     Ügyelet takarítás ( 4-6 hó)</t>
  </si>
  <si>
    <t xml:space="preserve">     Ügyeleti gk biztosítása</t>
  </si>
  <si>
    <t xml:space="preserve">     Ügyelet  orvosok számlái</t>
  </si>
  <si>
    <t xml:space="preserve">     Iskola busz gk vezető</t>
  </si>
  <si>
    <t xml:space="preserve">           Borók_Med  5-6 hó</t>
  </si>
  <si>
    <t xml:space="preserve">           Dr Székely</t>
  </si>
  <si>
    <t xml:space="preserve">           Istápfű</t>
  </si>
  <si>
    <t xml:space="preserve">           Salva-Vita</t>
  </si>
  <si>
    <t xml:space="preserve">           Dr Czégényi</t>
  </si>
  <si>
    <t xml:space="preserve">          Permo Mecical</t>
  </si>
  <si>
    <t xml:space="preserve">   Hegedűs ( cady javítás Megtéríti a KSZK.)</t>
  </si>
  <si>
    <t xml:space="preserve">    Ügyelet Áramdíj</t>
  </si>
  <si>
    <t xml:space="preserve">     Ügyelet Gázdíj</t>
  </si>
  <si>
    <t>Hegedűs ( cady javítás Megtéríti a KSZK.)</t>
  </si>
  <si>
    <t xml:space="preserve">MÁK 2011 évi normatíva ellenőrzés </t>
  </si>
  <si>
    <t xml:space="preserve">    2011 évi norm,atíva igénybevételi kamat</t>
  </si>
  <si>
    <t xml:space="preserve">     Ügyelet Vizdíj</t>
  </si>
  <si>
    <t>Újtikos Önkormányzat JNT-647 vizsgáztatás</t>
  </si>
  <si>
    <t>RPE TÁMOP pályázattal kapcsolatos követelés</t>
  </si>
  <si>
    <t xml:space="preserve">      Pályázat irás</t>
  </si>
  <si>
    <t xml:space="preserve">     Elmaradt haszon</t>
  </si>
  <si>
    <t>RPE TÁMOP pályázattal kapcsolatos követelése összesen</t>
  </si>
  <si>
    <t xml:space="preserve">     követelések pénzügyi rendezése</t>
  </si>
  <si>
    <t xml:space="preserve">       MEP jogviszony ellenőrzési díj 04 hóra</t>
  </si>
  <si>
    <t xml:space="preserve">       MEP jogviszony ellenőrzési díj 05 hóra</t>
  </si>
  <si>
    <t xml:space="preserve">       MEP jogviszony ellenőrzési díj 06 hóra</t>
  </si>
  <si>
    <t>Maradvány:</t>
  </si>
  <si>
    <t>2013. évi normatíva visszafizetés</t>
  </si>
  <si>
    <t>fajlagos támogatás  Ft/fő</t>
  </si>
  <si>
    <t>igényelt mutató</t>
  </si>
  <si>
    <t xml:space="preserve">átadott mutató </t>
  </si>
  <si>
    <t>teljesített mutató</t>
  </si>
  <si>
    <t>visszafizetendő támogatás</t>
  </si>
  <si>
    <t>Szociális étkezés</t>
  </si>
  <si>
    <t>Házi segítségnyujtás</t>
  </si>
  <si>
    <t>Idősek Nappali ellátása</t>
  </si>
  <si>
    <t>társulási támogatás</t>
  </si>
  <si>
    <t>Mindösszesen</t>
  </si>
  <si>
    <t>KESZ terhére megelőlegezett január 3-i bér</t>
  </si>
  <si>
    <t xml:space="preserve">Létszám csökkentési pályázat támogatása </t>
  </si>
  <si>
    <t xml:space="preserve">  Várható kamat RPE követeléssel kapcsolatosan 1 évre</t>
  </si>
  <si>
    <t>lakosságszám</t>
  </si>
  <si>
    <t>Folyás</t>
  </si>
  <si>
    <t>Görbeháza</t>
  </si>
  <si>
    <t>Polgár</t>
  </si>
  <si>
    <t>Tiszagyulaháza</t>
  </si>
  <si>
    <t>Újszentmargita</t>
  </si>
  <si>
    <t>Újtikos</t>
  </si>
  <si>
    <t>2013. augusztus 30-i pénz készlet Polgár Város Önkormányzatának elkülönített számláján</t>
  </si>
  <si>
    <t>Felosztás települések 2012. január 1-i lakosságszám arányában</t>
  </si>
  <si>
    <t>összesen</t>
  </si>
  <si>
    <t>sor- szám</t>
  </si>
  <si>
    <t>mennyiség</t>
  </si>
  <si>
    <t>bruttó érték</t>
  </si>
  <si>
    <t>elszámolt érték- csökkenés</t>
  </si>
  <si>
    <t>nettó érték</t>
  </si>
  <si>
    <t>1.</t>
  </si>
  <si>
    <t>Könyvtári rendszer licenc jog</t>
  </si>
  <si>
    <t>1 db</t>
  </si>
  <si>
    <t>2.</t>
  </si>
  <si>
    <t>Windows XP Home</t>
  </si>
  <si>
    <t>3.</t>
  </si>
  <si>
    <t>Windows XP Home ( pénzügy)</t>
  </si>
  <si>
    <t>2 db</t>
  </si>
  <si>
    <t>4.</t>
  </si>
  <si>
    <t>Office 2003</t>
  </si>
  <si>
    <t>5.</t>
  </si>
  <si>
    <t>Office 2003 ( pénzügy)</t>
  </si>
  <si>
    <t>6.</t>
  </si>
  <si>
    <t>Asus P5B-E server XP  prof op.rendszer</t>
  </si>
  <si>
    <t>7.</t>
  </si>
  <si>
    <t>Városi könyvtár modul</t>
  </si>
  <si>
    <t>8.</t>
  </si>
  <si>
    <t xml:space="preserve">Település járdák ( 2006) </t>
  </si>
  <si>
    <t>9.</t>
  </si>
  <si>
    <t>Sport pálya felújjitás ( BM tám 2006 )</t>
  </si>
  <si>
    <t>10.</t>
  </si>
  <si>
    <t>Számítógép ( irodavezetői )</t>
  </si>
  <si>
    <t>11.</t>
  </si>
  <si>
    <t>Nyomtató KMMC45750</t>
  </si>
  <si>
    <t xml:space="preserve">Mozgó könyvtár számtechn berend </t>
  </si>
  <si>
    <t>12.</t>
  </si>
  <si>
    <t xml:space="preserve">     Asus F5SL  notebook</t>
  </si>
  <si>
    <t>13.</t>
  </si>
  <si>
    <t xml:space="preserve">    Tysso CCD 800 USB vonalkód olvasó</t>
  </si>
  <si>
    <t>14.</t>
  </si>
  <si>
    <t xml:space="preserve">    3,5 külső USB ház</t>
  </si>
  <si>
    <t>15.</t>
  </si>
  <si>
    <t xml:space="preserve">    Linksyss WRT54GL Wireless router</t>
  </si>
  <si>
    <t>16.</t>
  </si>
  <si>
    <t xml:space="preserve">    aten master cpu view switch</t>
  </si>
  <si>
    <t>17.</t>
  </si>
  <si>
    <t>számítógép ( ikttató  )</t>
  </si>
  <si>
    <t>18.</t>
  </si>
  <si>
    <t>számítógép ( pénzügy )</t>
  </si>
  <si>
    <t>19.</t>
  </si>
  <si>
    <t>számítógép</t>
  </si>
  <si>
    <t>20.</t>
  </si>
  <si>
    <t>Projektor</t>
  </si>
  <si>
    <t>21.</t>
  </si>
  <si>
    <t>Érintőképernyős  információs torony</t>
  </si>
  <si>
    <t>1db</t>
  </si>
  <si>
    <t>22.</t>
  </si>
  <si>
    <t>Nyomtató lézer ( pénzügy)</t>
  </si>
  <si>
    <t>23.</t>
  </si>
  <si>
    <t>Notebook ecer</t>
  </si>
  <si>
    <t>24.</t>
  </si>
  <si>
    <t>Telefon / fax</t>
  </si>
  <si>
    <t>25.</t>
  </si>
  <si>
    <t>Stil 400 Fűkasza</t>
  </si>
  <si>
    <t>26.</t>
  </si>
  <si>
    <t xml:space="preserve">GPS </t>
  </si>
  <si>
    <t>27.</t>
  </si>
  <si>
    <t>Fényképezőgép</t>
  </si>
  <si>
    <t>28.</t>
  </si>
  <si>
    <t>Spirálozó gép</t>
  </si>
  <si>
    <t xml:space="preserve">    BROTHER multifunkcionális nyomtató</t>
  </si>
  <si>
    <t>Televízió</t>
  </si>
  <si>
    <t>Office 2007 SB OM</t>
  </si>
  <si>
    <t>3 db</t>
  </si>
  <si>
    <t>MS Windows 7. Hun op rendsz</t>
  </si>
  <si>
    <t>MS Office 2010 Hun. Irodai</t>
  </si>
  <si>
    <t>Jelzős Hsny. Operációs rendszer</t>
  </si>
  <si>
    <t>Iratkezelő szoftver</t>
  </si>
  <si>
    <t>Számítógép támogató szolg</t>
  </si>
  <si>
    <t>Számítógép ÖNO</t>
  </si>
  <si>
    <t>Számitógép ( gyermekjóléti sz )</t>
  </si>
  <si>
    <t>Számitógép ( családsegítő sz )</t>
  </si>
  <si>
    <t>Számitógép</t>
  </si>
  <si>
    <t>fénymásoló</t>
  </si>
  <si>
    <t>Nyomtató lézer</t>
  </si>
  <si>
    <t>4 db</t>
  </si>
  <si>
    <t>Monitor</t>
  </si>
  <si>
    <t>monitor</t>
  </si>
  <si>
    <t>Számitógép ( jelzős  Hsny )</t>
  </si>
  <si>
    <t xml:space="preserve">Szünetmentes </t>
  </si>
  <si>
    <t>Xerox multifunkcioós készülék</t>
  </si>
  <si>
    <t>Hűtőszekrény SCH 600IN inox</t>
  </si>
  <si>
    <t>Fagyasztó láda EL/ZA ECN501/ZF 350WB</t>
  </si>
  <si>
    <t xml:space="preserve">Elektromos olajsütő </t>
  </si>
  <si>
    <t>29.</t>
  </si>
  <si>
    <t>E-23 tipusú elektromos galuskaszaggató</t>
  </si>
  <si>
    <t>30.</t>
  </si>
  <si>
    <t>Nokia 3120 telefon + kártya gondozotti</t>
  </si>
  <si>
    <t>140 db</t>
  </si>
  <si>
    <t>31.</t>
  </si>
  <si>
    <t>Nokia 3120 telefon + kártya gondozói</t>
  </si>
  <si>
    <t>20 db</t>
  </si>
  <si>
    <t>32.</t>
  </si>
  <si>
    <t>Készenléti tádska ( jelzős hsny)</t>
  </si>
  <si>
    <t>14 db</t>
  </si>
  <si>
    <t>33.</t>
  </si>
  <si>
    <t xml:space="preserve">Kerékpár pannon </t>
  </si>
  <si>
    <t>13 db</t>
  </si>
  <si>
    <t>34.</t>
  </si>
  <si>
    <t>Tároló Állvány ( konyha )</t>
  </si>
  <si>
    <t>35.</t>
  </si>
  <si>
    <t>RKG 400 Gázüzemű főzőüst</t>
  </si>
  <si>
    <t>36.</t>
  </si>
  <si>
    <t>37.</t>
  </si>
  <si>
    <t>LGE-697 volkswagen cady</t>
  </si>
  <si>
    <t>38.</t>
  </si>
  <si>
    <t>LKU-775 volkswagen transporter</t>
  </si>
  <si>
    <t>Notebook Samsung NP3000e5a</t>
  </si>
  <si>
    <t>Fénymásoló</t>
  </si>
  <si>
    <t>Nagykonyhai sütő</t>
  </si>
  <si>
    <t>JVF-340 Autosan A 1010T busz</t>
  </si>
  <si>
    <t>JNT-647 Iveco 40 C13 busz</t>
  </si>
  <si>
    <t xml:space="preserve">      Sikerdíj </t>
  </si>
  <si>
    <t>Összes követelés/kötelezettségből pénzügyileg rendezett</t>
  </si>
  <si>
    <t>Összes követelés/  kötelezettség</t>
  </si>
  <si>
    <t xml:space="preserve">Polgár Város elkülönített számla </t>
  </si>
  <si>
    <t>2013. 06.30-án meglévő pénzkészlet, amely átvezetésre került Polgár Város elkülönített számlájára.</t>
  </si>
  <si>
    <t xml:space="preserve">     kötelezettségek pénzügyi rendezése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</si>
</sst>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000\ _F_t_-;\-* #,##0.0000\ _F_t_-;_-* &quot;-&quot;??\ _F_t_-;_-@_-"/>
    <numFmt numFmtId="168" formatCode="0.0"/>
    <numFmt numFmtId="169" formatCode="yy/mm/dd/"/>
    <numFmt numFmtId="170" formatCode="[$-40E]yyyy\.\ mmmm\ d\.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yyyy/\ m/\ d\."/>
    <numFmt numFmtId="180" formatCode="0.000000%"/>
    <numFmt numFmtId="181" formatCode="yyyy/mm/dd;@"/>
    <numFmt numFmtId="182" formatCode="_-* #,##0.0000000\ _F_t_-;\-* #,##0.0000000\ _F_t_-;_-* &quot;-&quot;??\ _F_t_-;_-@_-"/>
    <numFmt numFmtId="183" formatCode="_-* #,##0.00000000000\ _F_t_-;\-* #,##0.00000000000\ _F_t_-;_-* &quot;-&quot;??\ _F_t_-;_-@_-"/>
    <numFmt numFmtId="184" formatCode="_-* #,##0.00000\ _F_t_-;\-* #,##0.00000\ _F_t_-;_-* &quot;-&quot;??\ _F_t_-;_-@_-"/>
    <numFmt numFmtId="185" formatCode="_-* #,##0.000000\ _F_t_-;\-* #,##0.000000\ _F_t_-;_-* &quot;-&quot;??????\ _F_t_-;_-@_-"/>
    <numFmt numFmtId="186" formatCode="_-* #,##0.0000000000\ _F_t_-;\-* #,##0.0000000000\ _F_t_-;_-* &quot;-&quot;??\ _F_t_-;_-@_-"/>
    <numFmt numFmtId="187" formatCode="_-* #,##0.000000000\ _F_t_-;\-* #,##0.000000000\ _F_t_-;_-* &quot;-&quot;??\ _F_t_-;_-@_-"/>
    <numFmt numFmtId="188" formatCode="_-* #,##0.00000000\ _F_t_-;\-* #,##0.00000000\ _F_t_-;_-* &quot;-&quot;??\ _F_t_-;_-@_-"/>
    <numFmt numFmtId="189" formatCode="_-* #,##0.000000\ _F_t_-;\-* #,##0.000000\ _F_t_-;_-* &quot;-&quot;??\ _F_t_-;_-@_-"/>
    <numFmt numFmtId="190" formatCode="0.0000%"/>
    <numFmt numFmtId="191" formatCode="_-* #,##0.0000\ _F_t_-;\-* #,##0.0000\ _F_t_-;_-* &quot;-&quot;????\ _F_t_-;_-@_-"/>
    <numFmt numFmtId="192" formatCode="_-* #,##0.0\ _F_t_-;\-* #,##0.0\ _F_t_-;_-* &quot;-&quot;?\ _F_t_-;_-@_-"/>
    <numFmt numFmtId="193" formatCode="&quot;Igen&quot;;&quot;Igen&quot;;&quot;Nem&quot;"/>
    <numFmt numFmtId="194" formatCode="&quot;Igaz&quot;;&quot;Igaz&quot;;&quot;Hamis&quot;"/>
    <numFmt numFmtId="195" formatCode="&quot;Be&quot;;&quot;Be&quot;;&quot;Ki&quot;"/>
    <numFmt numFmtId="196" formatCode="0__"/>
  </numFmts>
  <fonts count="7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0"/>
      <name val="Times New Roman"/>
      <family val="1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i/>
      <sz val="7"/>
      <color indexed="12"/>
      <name val="Times New Roman"/>
      <family val="1"/>
    </font>
    <font>
      <sz val="7"/>
      <color indexed="14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6"/>
      <name val="Times New Roman"/>
      <family val="1"/>
    </font>
    <font>
      <i/>
      <sz val="6"/>
      <name val="Times New Roman"/>
      <family val="1"/>
    </font>
    <font>
      <sz val="6"/>
      <color indexed="14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sz val="6"/>
      <color indexed="12"/>
      <name val="Times New Roman"/>
      <family val="1"/>
    </font>
    <font>
      <b/>
      <i/>
      <sz val="7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6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7"/>
      <color indexed="12"/>
      <name val="Times New Roman"/>
      <family val="1"/>
    </font>
    <font>
      <b/>
      <i/>
      <sz val="7"/>
      <color indexed="12"/>
      <name val="Times New Roman"/>
      <family val="1"/>
    </font>
    <font>
      <sz val="10"/>
      <name val="Arial CE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/>
    </xf>
    <xf numFmtId="165" fontId="4" fillId="0" borderId="10" xfId="40" applyNumberFormat="1" applyFont="1" applyBorder="1" applyAlignment="1">
      <alignment/>
    </xf>
    <xf numFmtId="165" fontId="1" fillId="0" borderId="11" xfId="4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65" fontId="1" fillId="0" borderId="14" xfId="40" applyNumberFormat="1" applyFont="1" applyBorder="1" applyAlignment="1">
      <alignment/>
    </xf>
    <xf numFmtId="165" fontId="5" fillId="0" borderId="0" xfId="40" applyNumberFormat="1" applyFont="1" applyAlignment="1">
      <alignment/>
    </xf>
    <xf numFmtId="0" fontId="1" fillId="0" borderId="15" xfId="0" applyFont="1" applyBorder="1" applyAlignment="1">
      <alignment horizontal="left"/>
    </xf>
    <xf numFmtId="0" fontId="6" fillId="0" borderId="0" xfId="0" applyFont="1" applyAlignment="1">
      <alignment/>
    </xf>
    <xf numFmtId="165" fontId="6" fillId="0" borderId="0" xfId="40" applyNumberFormat="1" applyFont="1" applyAlignment="1">
      <alignment/>
    </xf>
    <xf numFmtId="165" fontId="7" fillId="0" borderId="0" xfId="4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165" fontId="7" fillId="0" borderId="10" xfId="40" applyNumberFormat="1" applyFont="1" applyBorder="1" applyAlignment="1">
      <alignment/>
    </xf>
    <xf numFmtId="165" fontId="7" fillId="0" borderId="16" xfId="4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165" fontId="9" fillId="0" borderId="10" xfId="40" applyNumberFormat="1" applyFont="1" applyBorder="1" applyAlignment="1">
      <alignment/>
    </xf>
    <xf numFmtId="165" fontId="9" fillId="0" borderId="16" xfId="40" applyNumberFormat="1" applyFont="1" applyBorder="1" applyAlignment="1">
      <alignment/>
    </xf>
    <xf numFmtId="165" fontId="8" fillId="0" borderId="10" xfId="40" applyNumberFormat="1" applyFont="1" applyBorder="1" applyAlignment="1">
      <alignment/>
    </xf>
    <xf numFmtId="165" fontId="8" fillId="0" borderId="16" xfId="40" applyNumberFormat="1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4" xfId="40" applyNumberFormat="1" applyFont="1" applyBorder="1" applyAlignment="1">
      <alignment/>
    </xf>
    <xf numFmtId="165" fontId="7" fillId="0" borderId="17" xfId="40" applyNumberFormat="1" applyFont="1" applyBorder="1" applyAlignment="1">
      <alignment/>
    </xf>
    <xf numFmtId="0" fontId="7" fillId="0" borderId="12" xfId="0" applyFont="1" applyBorder="1" applyAlignment="1">
      <alignment/>
    </xf>
    <xf numFmtId="165" fontId="7" fillId="0" borderId="11" xfId="40" applyNumberFormat="1" applyFont="1" applyBorder="1" applyAlignment="1">
      <alignment horizontal="center" vertical="center" wrapText="1"/>
    </xf>
    <xf numFmtId="165" fontId="7" fillId="0" borderId="11" xfId="40" applyNumberFormat="1" applyFont="1" applyBorder="1" applyAlignment="1">
      <alignment/>
    </xf>
    <xf numFmtId="165" fontId="7" fillId="0" borderId="18" xfId="4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165" fontId="7" fillId="0" borderId="20" xfId="40" applyNumberFormat="1" applyFont="1" applyBorder="1" applyAlignment="1">
      <alignment horizontal="center" vertical="center" wrapText="1"/>
    </xf>
    <xf numFmtId="165" fontId="7" fillId="0" borderId="20" xfId="40" applyNumberFormat="1" applyFont="1" applyBorder="1" applyAlignment="1">
      <alignment horizontal="center" vertical="center"/>
    </xf>
    <xf numFmtId="165" fontId="7" fillId="0" borderId="21" xfId="4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11" fillId="0" borderId="10" xfId="40" applyNumberFormat="1" applyFont="1" applyBorder="1" applyAlignment="1">
      <alignment/>
    </xf>
    <xf numFmtId="165" fontId="13" fillId="0" borderId="10" xfId="40" applyNumberFormat="1" applyFont="1" applyBorder="1" applyAlignment="1">
      <alignment/>
    </xf>
    <xf numFmtId="165" fontId="14" fillId="0" borderId="10" xfId="40" applyNumberFormat="1" applyFont="1" applyBorder="1" applyAlignment="1">
      <alignment/>
    </xf>
    <xf numFmtId="0" fontId="14" fillId="0" borderId="0" xfId="0" applyFont="1" applyAlignment="1">
      <alignment/>
    </xf>
    <xf numFmtId="165" fontId="15" fillId="0" borderId="10" xfId="40" applyNumberFormat="1" applyFont="1" applyBorder="1" applyAlignment="1">
      <alignment/>
    </xf>
    <xf numFmtId="0" fontId="15" fillId="0" borderId="0" xfId="0" applyFont="1" applyAlignment="1">
      <alignment/>
    </xf>
    <xf numFmtId="43" fontId="7" fillId="0" borderId="10" xfId="40" applyFont="1" applyBorder="1" applyAlignment="1">
      <alignment/>
    </xf>
    <xf numFmtId="43" fontId="11" fillId="0" borderId="10" xfId="40" applyFont="1" applyBorder="1" applyAlignment="1">
      <alignment/>
    </xf>
    <xf numFmtId="43" fontId="7" fillId="0" borderId="0" xfId="40" applyFont="1" applyAlignment="1">
      <alignment/>
    </xf>
    <xf numFmtId="165" fontId="11" fillId="0" borderId="0" xfId="40" applyNumberFormat="1" applyFont="1" applyAlignment="1">
      <alignment/>
    </xf>
    <xf numFmtId="165" fontId="1" fillId="0" borderId="0" xfId="40" applyNumberFormat="1" applyFont="1" applyAlignment="1">
      <alignment horizontal="center" vertical="center" wrapText="1"/>
    </xf>
    <xf numFmtId="165" fontId="2" fillId="0" borderId="0" xfId="40" applyNumberFormat="1" applyFont="1" applyAlignment="1">
      <alignment/>
    </xf>
    <xf numFmtId="165" fontId="4" fillId="0" borderId="0" xfId="40" applyNumberFormat="1" applyFont="1" applyAlignment="1">
      <alignment/>
    </xf>
    <xf numFmtId="0" fontId="10" fillId="0" borderId="0" xfId="0" applyFont="1" applyAlignment="1">
      <alignment/>
    </xf>
    <xf numFmtId="165" fontId="10" fillId="0" borderId="0" xfId="40" applyNumberFormat="1" applyFont="1" applyAlignment="1">
      <alignment/>
    </xf>
    <xf numFmtId="0" fontId="1" fillId="0" borderId="22" xfId="0" applyFont="1" applyBorder="1" applyAlignment="1">
      <alignment/>
    </xf>
    <xf numFmtId="165" fontId="1" fillId="0" borderId="0" xfId="40" applyNumberFormat="1" applyFont="1" applyBorder="1" applyAlignment="1">
      <alignment horizontal="center" vertical="center" wrapText="1"/>
    </xf>
    <xf numFmtId="165" fontId="1" fillId="0" borderId="23" xfId="40" applyNumberFormat="1" applyFont="1" applyBorder="1" applyAlignment="1">
      <alignment horizontal="center" vertical="center" wrapText="1"/>
    </xf>
    <xf numFmtId="165" fontId="1" fillId="0" borderId="0" xfId="40" applyNumberFormat="1" applyFont="1" applyBorder="1" applyAlignment="1">
      <alignment/>
    </xf>
    <xf numFmtId="165" fontId="1" fillId="0" borderId="23" xfId="40" applyNumberFormat="1" applyFont="1" applyBorder="1" applyAlignment="1">
      <alignment/>
    </xf>
    <xf numFmtId="0" fontId="4" fillId="0" borderId="22" xfId="0" applyFont="1" applyBorder="1" applyAlignment="1">
      <alignment/>
    </xf>
    <xf numFmtId="165" fontId="4" fillId="0" borderId="0" xfId="40" applyNumberFormat="1" applyFont="1" applyBorder="1" applyAlignment="1">
      <alignment/>
    </xf>
    <xf numFmtId="165" fontId="4" fillId="0" borderId="23" xfId="40" applyNumberFormat="1" applyFont="1" applyBorder="1" applyAlignment="1">
      <alignment/>
    </xf>
    <xf numFmtId="0" fontId="1" fillId="0" borderId="24" xfId="0" applyFont="1" applyBorder="1" applyAlignment="1">
      <alignment/>
    </xf>
    <xf numFmtId="165" fontId="1" fillId="0" borderId="25" xfId="40" applyNumberFormat="1" applyFont="1" applyBorder="1" applyAlignment="1">
      <alignment/>
    </xf>
    <xf numFmtId="165" fontId="1" fillId="0" borderId="26" xfId="4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12" fillId="0" borderId="0" xfId="40" applyNumberFormat="1" applyFont="1" applyAlignment="1">
      <alignment/>
    </xf>
    <xf numFmtId="165" fontId="9" fillId="0" borderId="0" xfId="0" applyNumberFormat="1" applyFont="1" applyAlignment="1">
      <alignment/>
    </xf>
    <xf numFmtId="165" fontId="12" fillId="0" borderId="10" xfId="40" applyNumberFormat="1" applyFont="1" applyBorder="1" applyAlignment="1">
      <alignment/>
    </xf>
    <xf numFmtId="43" fontId="12" fillId="0" borderId="10" xfId="4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43" fontId="19" fillId="0" borderId="10" xfId="40" applyFont="1" applyBorder="1" applyAlignment="1">
      <alignment/>
    </xf>
    <xf numFmtId="0" fontId="19" fillId="0" borderId="0" xfId="0" applyFont="1" applyAlignment="1">
      <alignment/>
    </xf>
    <xf numFmtId="165" fontId="19" fillId="0" borderId="10" xfId="40" applyNumberFormat="1" applyFont="1" applyBorder="1" applyAlignment="1">
      <alignment horizontal="center" vertical="center" wrapText="1"/>
    </xf>
    <xf numFmtId="165" fontId="24" fillId="0" borderId="10" xfId="4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25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 horizontal="center" vertical="center"/>
    </xf>
    <xf numFmtId="165" fontId="1" fillId="0" borderId="10" xfId="4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43" fontId="1" fillId="0" borderId="10" xfId="40" applyFont="1" applyBorder="1" applyAlignment="1">
      <alignment horizontal="center"/>
    </xf>
    <xf numFmtId="43" fontId="1" fillId="0" borderId="10" xfId="4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10" fontId="1" fillId="0" borderId="0" xfId="40" applyNumberFormat="1" applyFont="1" applyAlignment="1">
      <alignment/>
    </xf>
    <xf numFmtId="165" fontId="6" fillId="0" borderId="10" xfId="40" applyNumberFormat="1" applyFont="1" applyBorder="1" applyAlignment="1">
      <alignment horizontal="center" vertical="center"/>
    </xf>
    <xf numFmtId="165" fontId="3" fillId="0" borderId="10" xfId="40" applyNumberFormat="1" applyFont="1" applyBorder="1" applyAlignment="1">
      <alignment horizontal="center" vertical="center"/>
    </xf>
    <xf numFmtId="165" fontId="6" fillId="0" borderId="10" xfId="4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5" fontId="6" fillId="0" borderId="27" xfId="40" applyNumberFormat="1" applyFont="1" applyBorder="1" applyAlignment="1">
      <alignment horizontal="center" vertical="center" wrapText="1"/>
    </xf>
    <xf numFmtId="165" fontId="6" fillId="0" borderId="27" xfId="40" applyNumberFormat="1" applyFont="1" applyBorder="1" applyAlignment="1">
      <alignment horizontal="center" vertical="center"/>
    </xf>
    <xf numFmtId="165" fontId="6" fillId="0" borderId="10" xfId="40" applyNumberFormat="1" applyFont="1" applyBorder="1" applyAlignment="1">
      <alignment horizontal="center" vertical="center" wrapText="1"/>
    </xf>
    <xf numFmtId="165" fontId="6" fillId="0" borderId="10" xfId="40" applyNumberFormat="1" applyFont="1" applyBorder="1" applyAlignment="1">
      <alignment/>
    </xf>
    <xf numFmtId="165" fontId="6" fillId="0" borderId="27" xfId="40" applyNumberFormat="1" applyFont="1" applyBorder="1" applyAlignment="1">
      <alignment/>
    </xf>
    <xf numFmtId="165" fontId="5" fillId="0" borderId="10" xfId="40" applyNumberFormat="1" applyFont="1" applyBorder="1" applyAlignment="1">
      <alignment/>
    </xf>
    <xf numFmtId="0" fontId="5" fillId="0" borderId="0" xfId="0" applyFont="1" applyAlignment="1">
      <alignment/>
    </xf>
    <xf numFmtId="165" fontId="26" fillId="0" borderId="10" xfId="40" applyNumberFormat="1" applyFont="1" applyBorder="1" applyAlignment="1">
      <alignment/>
    </xf>
    <xf numFmtId="165" fontId="26" fillId="0" borderId="27" xfId="4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65" fontId="6" fillId="0" borderId="27" xfId="40" applyNumberFormat="1" applyFont="1" applyBorder="1" applyAlignment="1">
      <alignment horizontal="center"/>
    </xf>
    <xf numFmtId="165" fontId="5" fillId="0" borderId="10" xfId="40" applyNumberFormat="1" applyFont="1" applyBorder="1" applyAlignment="1">
      <alignment horizontal="center"/>
    </xf>
    <xf numFmtId="165" fontId="5" fillId="0" borderId="27" xfId="4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165" fontId="27" fillId="0" borderId="0" xfId="40" applyNumberFormat="1" applyFont="1" applyAlignment="1">
      <alignment/>
    </xf>
    <xf numFmtId="0" fontId="2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65" fontId="3" fillId="0" borderId="27" xfId="4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5" fontId="30" fillId="0" borderId="10" xfId="40" applyNumberFormat="1" applyFont="1" applyBorder="1" applyAlignment="1">
      <alignment horizontal="center" vertical="center" wrapText="1"/>
    </xf>
    <xf numFmtId="165" fontId="31" fillId="0" borderId="10" xfId="40" applyNumberFormat="1" applyFont="1" applyBorder="1" applyAlignment="1">
      <alignment/>
    </xf>
    <xf numFmtId="165" fontId="32" fillId="0" borderId="10" xfId="40" applyNumberFormat="1" applyFont="1" applyBorder="1" applyAlignment="1">
      <alignment/>
    </xf>
    <xf numFmtId="0" fontId="12" fillId="0" borderId="0" xfId="0" applyFont="1" applyAlignment="1">
      <alignment/>
    </xf>
    <xf numFmtId="165" fontId="33" fillId="0" borderId="10" xfId="40" applyNumberFormat="1" applyFont="1" applyBorder="1" applyAlignment="1">
      <alignment/>
    </xf>
    <xf numFmtId="165" fontId="34" fillId="0" borderId="10" xfId="4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/>
    </xf>
    <xf numFmtId="165" fontId="36" fillId="0" borderId="11" xfId="40" applyNumberFormat="1" applyFont="1" applyBorder="1" applyAlignment="1">
      <alignment/>
    </xf>
    <xf numFmtId="165" fontId="36" fillId="0" borderId="18" xfId="40" applyNumberFormat="1" applyFont="1" applyBorder="1" applyAlignment="1">
      <alignment/>
    </xf>
    <xf numFmtId="0" fontId="36" fillId="0" borderId="15" xfId="0" applyFont="1" applyBorder="1" applyAlignment="1">
      <alignment/>
    </xf>
    <xf numFmtId="165" fontId="36" fillId="0" borderId="10" xfId="40" applyNumberFormat="1" applyFont="1" applyBorder="1" applyAlignment="1">
      <alignment/>
    </xf>
    <xf numFmtId="165" fontId="36" fillId="0" borderId="16" xfId="40" applyNumberFormat="1" applyFont="1" applyBorder="1" applyAlignment="1">
      <alignment/>
    </xf>
    <xf numFmtId="0" fontId="37" fillId="0" borderId="15" xfId="0" applyFont="1" applyBorder="1" applyAlignment="1">
      <alignment/>
    </xf>
    <xf numFmtId="165" fontId="37" fillId="0" borderId="10" xfId="40" applyNumberFormat="1" applyFont="1" applyBorder="1" applyAlignment="1">
      <alignment/>
    </xf>
    <xf numFmtId="165" fontId="37" fillId="0" borderId="16" xfId="40" applyNumberFormat="1" applyFont="1" applyBorder="1" applyAlignment="1">
      <alignment/>
    </xf>
    <xf numFmtId="0" fontId="37" fillId="0" borderId="0" xfId="0" applyFont="1" applyAlignment="1">
      <alignment/>
    </xf>
    <xf numFmtId="0" fontId="18" fillId="0" borderId="15" xfId="0" applyFont="1" applyBorder="1" applyAlignment="1">
      <alignment/>
    </xf>
    <xf numFmtId="165" fontId="18" fillId="0" borderId="10" xfId="40" applyNumberFormat="1" applyFont="1" applyBorder="1" applyAlignment="1">
      <alignment/>
    </xf>
    <xf numFmtId="165" fontId="18" fillId="0" borderId="16" xfId="40" applyNumberFormat="1" applyFont="1" applyBorder="1" applyAlignment="1">
      <alignment/>
    </xf>
    <xf numFmtId="0" fontId="18" fillId="0" borderId="0" xfId="0" applyFont="1" applyAlignment="1">
      <alignment/>
    </xf>
    <xf numFmtId="0" fontId="36" fillId="0" borderId="13" xfId="0" applyFont="1" applyBorder="1" applyAlignment="1">
      <alignment/>
    </xf>
    <xf numFmtId="165" fontId="36" fillId="0" borderId="14" xfId="40" applyNumberFormat="1" applyFont="1" applyBorder="1" applyAlignment="1">
      <alignment/>
    </xf>
    <xf numFmtId="165" fontId="36" fillId="0" borderId="17" xfId="40" applyNumberFormat="1" applyFont="1" applyBorder="1" applyAlignment="1">
      <alignment/>
    </xf>
    <xf numFmtId="165" fontId="36" fillId="0" borderId="0" xfId="40" applyNumberFormat="1" applyFont="1" applyAlignment="1">
      <alignment/>
    </xf>
    <xf numFmtId="0" fontId="27" fillId="0" borderId="15" xfId="0" applyFont="1" applyBorder="1" applyAlignment="1">
      <alignment wrapText="1"/>
    </xf>
    <xf numFmtId="165" fontId="27" fillId="0" borderId="10" xfId="40" applyNumberFormat="1" applyFont="1" applyBorder="1" applyAlignment="1">
      <alignment/>
    </xf>
    <xf numFmtId="165" fontId="27" fillId="0" borderId="16" xfId="4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5" xfId="0" applyFont="1" applyBorder="1" applyAlignment="1">
      <alignment/>
    </xf>
    <xf numFmtId="165" fontId="28" fillId="0" borderId="10" xfId="40" applyNumberFormat="1" applyFont="1" applyBorder="1" applyAlignment="1">
      <alignment/>
    </xf>
    <xf numFmtId="165" fontId="28" fillId="0" borderId="16" xfId="40" applyNumberFormat="1" applyFont="1" applyBorder="1" applyAlignment="1">
      <alignment/>
    </xf>
    <xf numFmtId="0" fontId="27" fillId="0" borderId="13" xfId="0" applyFont="1" applyBorder="1" applyAlignment="1">
      <alignment/>
    </xf>
    <xf numFmtId="165" fontId="27" fillId="0" borderId="14" xfId="40" applyNumberFormat="1" applyFont="1" applyBorder="1" applyAlignment="1">
      <alignment/>
    </xf>
    <xf numFmtId="165" fontId="27" fillId="0" borderId="17" xfId="40" applyNumberFormat="1" applyFont="1" applyBorder="1" applyAlignment="1">
      <alignment/>
    </xf>
    <xf numFmtId="0" fontId="27" fillId="0" borderId="12" xfId="0" applyFont="1" applyBorder="1" applyAlignment="1">
      <alignment wrapText="1"/>
    </xf>
    <xf numFmtId="165" fontId="27" fillId="0" borderId="11" xfId="40" applyNumberFormat="1" applyFont="1" applyBorder="1" applyAlignment="1">
      <alignment/>
    </xf>
    <xf numFmtId="165" fontId="27" fillId="0" borderId="11" xfId="40" applyNumberFormat="1" applyFont="1" applyBorder="1" applyAlignment="1">
      <alignment horizontal="center" vertical="center" wrapText="1"/>
    </xf>
    <xf numFmtId="165" fontId="27" fillId="0" borderId="18" xfId="40" applyNumberFormat="1" applyFont="1" applyBorder="1" applyAlignment="1">
      <alignment/>
    </xf>
    <xf numFmtId="165" fontId="28" fillId="0" borderId="20" xfId="40" applyNumberFormat="1" applyFont="1" applyBorder="1" applyAlignment="1">
      <alignment horizontal="center" wrapText="1"/>
    </xf>
    <xf numFmtId="165" fontId="28" fillId="0" borderId="20" xfId="4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7" fillId="0" borderId="28" xfId="0" applyFont="1" applyBorder="1" applyAlignment="1">
      <alignment/>
    </xf>
    <xf numFmtId="165" fontId="27" fillId="0" borderId="29" xfId="40" applyNumberFormat="1" applyFont="1" applyBorder="1" applyAlignment="1">
      <alignment/>
    </xf>
    <xf numFmtId="180" fontId="27" fillId="0" borderId="10" xfId="40" applyNumberFormat="1" applyFont="1" applyBorder="1" applyAlignment="1">
      <alignment/>
    </xf>
    <xf numFmtId="180" fontId="27" fillId="0" borderId="29" xfId="40" applyNumberFormat="1" applyFont="1" applyBorder="1" applyAlignment="1">
      <alignment/>
    </xf>
    <xf numFmtId="165" fontId="28" fillId="0" borderId="30" xfId="4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5" fontId="1" fillId="0" borderId="20" xfId="40" applyNumberFormat="1" applyFont="1" applyBorder="1" applyAlignment="1">
      <alignment horizontal="center" vertical="center"/>
    </xf>
    <xf numFmtId="165" fontId="1" fillId="0" borderId="20" xfId="40" applyNumberFormat="1" applyFont="1" applyBorder="1" applyAlignment="1">
      <alignment horizontal="center" vertical="center" wrapText="1"/>
    </xf>
    <xf numFmtId="165" fontId="1" fillId="0" borderId="21" xfId="4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40" applyNumberFormat="1" applyFont="1" applyBorder="1" applyAlignment="1">
      <alignment/>
    </xf>
    <xf numFmtId="165" fontId="1" fillId="0" borderId="18" xfId="4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165" fontId="1" fillId="0" borderId="16" xfId="4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4" xfId="40" applyNumberFormat="1" applyFont="1" applyBorder="1" applyAlignment="1">
      <alignment/>
    </xf>
    <xf numFmtId="165" fontId="1" fillId="0" borderId="17" xfId="4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165" fontId="1" fillId="0" borderId="11" xfId="40" applyNumberFormat="1" applyFont="1" applyBorder="1" applyAlignment="1">
      <alignment/>
    </xf>
    <xf numFmtId="165" fontId="1" fillId="0" borderId="18" xfId="4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65" fontId="1" fillId="0" borderId="16" xfId="4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5" fontId="1" fillId="0" borderId="17" xfId="4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65" fontId="1" fillId="0" borderId="27" xfId="4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31" xfId="40" applyNumberFormat="1" applyFont="1" applyBorder="1" applyAlignment="1">
      <alignment horizontal="center" vertical="center"/>
    </xf>
    <xf numFmtId="165" fontId="1" fillId="0" borderId="27" xfId="40" applyNumberFormat="1" applyFont="1" applyBorder="1" applyAlignment="1">
      <alignment horizontal="center" vertical="center" wrapText="1"/>
    </xf>
    <xf numFmtId="165" fontId="1" fillId="0" borderId="31" xfId="40" applyNumberFormat="1" applyFont="1" applyBorder="1" applyAlignment="1">
      <alignment horizontal="center" vertical="center" wrapText="1"/>
    </xf>
    <xf numFmtId="165" fontId="6" fillId="0" borderId="27" xfId="40" applyNumberFormat="1" applyFont="1" applyBorder="1" applyAlignment="1">
      <alignment horizontal="center" vertical="center" wrapText="1"/>
    </xf>
    <xf numFmtId="165" fontId="6" fillId="0" borderId="31" xfId="40" applyNumberFormat="1" applyFont="1" applyBorder="1" applyAlignment="1">
      <alignment horizontal="center" vertical="center" wrapText="1"/>
    </xf>
    <xf numFmtId="165" fontId="6" fillId="0" borderId="27" xfId="40" applyNumberFormat="1" applyFont="1" applyBorder="1" applyAlignment="1">
      <alignment horizontal="center" vertical="center"/>
    </xf>
    <xf numFmtId="165" fontId="6" fillId="0" borderId="31" xfId="40" applyNumberFormat="1" applyFont="1" applyBorder="1" applyAlignment="1">
      <alignment horizontal="center" vertical="center"/>
    </xf>
    <xf numFmtId="165" fontId="6" fillId="0" borderId="10" xfId="4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5" fontId="6" fillId="0" borderId="10" xfId="40" applyNumberFormat="1" applyFont="1" applyBorder="1" applyAlignment="1">
      <alignment horizontal="center" vertical="center"/>
    </xf>
    <xf numFmtId="165" fontId="3" fillId="0" borderId="10" xfId="4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5" fontId="1" fillId="0" borderId="35" xfId="4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1" fillId="0" borderId="0" xfId="4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5" fontId="1" fillId="0" borderId="39" xfId="40" applyNumberFormat="1" applyFont="1" applyBorder="1" applyAlignment="1">
      <alignment horizontal="center" vertical="center" wrapText="1"/>
    </xf>
    <xf numFmtId="165" fontId="1" fillId="0" borderId="40" xfId="40" applyNumberFormat="1" applyFont="1" applyBorder="1" applyAlignment="1">
      <alignment horizontal="center" vertical="center" wrapText="1"/>
    </xf>
    <xf numFmtId="165" fontId="1" fillId="0" borderId="41" xfId="40" applyNumberFormat="1" applyFont="1" applyBorder="1" applyAlignment="1">
      <alignment horizontal="center" vertical="center" wrapText="1"/>
    </xf>
    <xf numFmtId="165" fontId="1" fillId="0" borderId="42" xfId="40" applyNumberFormat="1" applyFont="1" applyBorder="1" applyAlignment="1">
      <alignment horizontal="center" vertical="center" wrapText="1"/>
    </xf>
    <xf numFmtId="165" fontId="1" fillId="0" borderId="43" xfId="40" applyNumberFormat="1" applyFont="1" applyBorder="1" applyAlignment="1">
      <alignment horizontal="center" vertical="center" wrapText="1"/>
    </xf>
    <xf numFmtId="165" fontId="1" fillId="0" borderId="44" xfId="4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5" fontId="7" fillId="0" borderId="27" xfId="40" applyNumberFormat="1" applyFont="1" applyBorder="1" applyAlignment="1">
      <alignment horizontal="center" vertical="center" wrapText="1"/>
    </xf>
    <xf numFmtId="165" fontId="7" fillId="0" borderId="31" xfId="40" applyNumberFormat="1" applyFont="1" applyBorder="1" applyAlignment="1">
      <alignment horizontal="center" vertical="center" wrapText="1"/>
    </xf>
    <xf numFmtId="165" fontId="11" fillId="0" borderId="27" xfId="40" applyNumberFormat="1" applyFont="1" applyBorder="1" applyAlignment="1">
      <alignment horizontal="center" vertical="center" wrapText="1"/>
    </xf>
    <xf numFmtId="165" fontId="11" fillId="0" borderId="31" xfId="40" applyNumberFormat="1" applyFont="1" applyBorder="1" applyAlignment="1">
      <alignment horizontal="center" vertical="center" wrapText="1"/>
    </xf>
    <xf numFmtId="165" fontId="12" fillId="0" borderId="27" xfId="4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165" fontId="7" fillId="0" borderId="10" xfId="40" applyNumberFormat="1" applyFont="1" applyBorder="1" applyAlignment="1">
      <alignment horizontal="center" vertical="center" wrapText="1"/>
    </xf>
    <xf numFmtId="165" fontId="11" fillId="0" borderId="10" xfId="40" applyNumberFormat="1" applyFont="1" applyBorder="1" applyAlignment="1">
      <alignment horizontal="center" vertical="center" wrapText="1"/>
    </xf>
    <xf numFmtId="165" fontId="36" fillId="0" borderId="45" xfId="40" applyNumberFormat="1" applyFont="1" applyBorder="1" applyAlignment="1">
      <alignment horizontal="center" vertical="center" wrapText="1"/>
    </xf>
    <xf numFmtId="165" fontId="36" fillId="0" borderId="46" xfId="40" applyNumberFormat="1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165" fontId="36" fillId="0" borderId="47" xfId="40" applyNumberFormat="1" applyFont="1" applyBorder="1" applyAlignment="1">
      <alignment horizontal="center" wrapText="1"/>
    </xf>
    <xf numFmtId="165" fontId="36" fillId="0" borderId="48" xfId="40" applyNumberFormat="1" applyFont="1" applyBorder="1" applyAlignment="1">
      <alignment horizontal="center" wrapText="1"/>
    </xf>
    <xf numFmtId="165" fontId="36" fillId="0" borderId="47" xfId="40" applyNumberFormat="1" applyFont="1" applyBorder="1" applyAlignment="1">
      <alignment horizontal="center" vertical="center" wrapText="1"/>
    </xf>
    <xf numFmtId="165" fontId="36" fillId="0" borderId="48" xfId="40" applyNumberFormat="1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ARSZJ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0" sqref="A40:IV40"/>
    </sheetView>
  </sheetViews>
  <sheetFormatPr defaultColWidth="9.140625" defaultRowHeight="12.75"/>
  <cols>
    <col min="1" max="1" width="30.7109375" style="1" bestFit="1" customWidth="1"/>
    <col min="2" max="2" width="11.28125" style="2" bestFit="1" customWidth="1"/>
    <col min="3" max="3" width="11.28125" style="2" customWidth="1"/>
    <col min="4" max="4" width="11.28125" style="2" bestFit="1" customWidth="1"/>
    <col min="5" max="5" width="11.28125" style="2" customWidth="1"/>
    <col min="6" max="6" width="11.28125" style="2" bestFit="1" customWidth="1"/>
    <col min="7" max="7" width="12.00390625" style="2" customWidth="1"/>
    <col min="8" max="16384" width="9.140625" style="1" customWidth="1"/>
  </cols>
  <sheetData>
    <row r="1" spans="4:6" ht="12.75">
      <c r="D1" s="12"/>
      <c r="E1" s="12"/>
      <c r="F1" s="12" t="s">
        <v>27</v>
      </c>
    </row>
    <row r="2" spans="1:7" ht="27.75" customHeight="1">
      <c r="A2" s="206" t="s">
        <v>0</v>
      </c>
      <c r="B2" s="204" t="s">
        <v>2</v>
      </c>
      <c r="C2" s="208"/>
      <c r="D2" s="209" t="s">
        <v>3</v>
      </c>
      <c r="E2" s="210"/>
      <c r="F2" s="204" t="s">
        <v>1</v>
      </c>
      <c r="G2" s="205"/>
    </row>
    <row r="3" spans="1:7" ht="12.75">
      <c r="A3" s="207"/>
      <c r="B3" s="85" t="s">
        <v>250</v>
      </c>
      <c r="C3" s="85" t="s">
        <v>246</v>
      </c>
      <c r="D3" s="85" t="s">
        <v>250</v>
      </c>
      <c r="E3" s="85" t="s">
        <v>246</v>
      </c>
      <c r="F3" s="85" t="s">
        <v>250</v>
      </c>
      <c r="G3" s="85" t="s">
        <v>246</v>
      </c>
    </row>
    <row r="4" spans="1:7" ht="12.75">
      <c r="A4" s="87"/>
      <c r="B4" s="85"/>
      <c r="C4" s="85"/>
      <c r="D4" s="85"/>
      <c r="E4" s="85"/>
      <c r="F4" s="85"/>
      <c r="G4" s="85"/>
    </row>
    <row r="5" spans="1:7" ht="12.75">
      <c r="A5" s="87" t="s">
        <v>18</v>
      </c>
      <c r="B5" s="85"/>
      <c r="C5" s="85"/>
      <c r="D5" s="86"/>
      <c r="E5" s="86"/>
      <c r="F5" s="85"/>
      <c r="G5" s="5"/>
    </row>
    <row r="6" spans="1:7" ht="12.75">
      <c r="A6" s="88" t="s">
        <v>4</v>
      </c>
      <c r="B6" s="5"/>
      <c r="C6" s="5"/>
      <c r="D6" s="5"/>
      <c r="E6" s="5"/>
      <c r="F6" s="5"/>
      <c r="G6" s="5"/>
    </row>
    <row r="7" spans="1:7" ht="12.75">
      <c r="A7" s="88" t="s">
        <v>107</v>
      </c>
      <c r="B7" s="5">
        <v>885</v>
      </c>
      <c r="C7" s="5">
        <v>1159</v>
      </c>
      <c r="D7" s="5">
        <v>64047</v>
      </c>
      <c r="E7" s="5">
        <v>29630</v>
      </c>
      <c r="F7" s="5">
        <f>B7+D7</f>
        <v>64932</v>
      </c>
      <c r="G7" s="5">
        <f>C7+E7</f>
        <v>30789</v>
      </c>
    </row>
    <row r="8" spans="1:7" ht="12.75">
      <c r="A8" s="88" t="s">
        <v>5</v>
      </c>
      <c r="B8" s="5">
        <v>1585</v>
      </c>
      <c r="C8" s="5">
        <v>1627</v>
      </c>
      <c r="D8" s="5">
        <v>5130</v>
      </c>
      <c r="E8" s="5">
        <v>3421</v>
      </c>
      <c r="F8" s="5">
        <f aca="true" t="shared" si="0" ref="F8:G19">B8+D8</f>
        <v>6715</v>
      </c>
      <c r="G8" s="5">
        <f t="shared" si="0"/>
        <v>5048</v>
      </c>
    </row>
    <row r="9" spans="1:7" ht="12.75">
      <c r="A9" s="88" t="s">
        <v>6</v>
      </c>
      <c r="B9" s="5">
        <v>3301</v>
      </c>
      <c r="C9" s="5">
        <v>3159</v>
      </c>
      <c r="D9" s="5">
        <v>2765</v>
      </c>
      <c r="E9" s="5">
        <v>935</v>
      </c>
      <c r="F9" s="5">
        <f t="shared" si="0"/>
        <v>6066</v>
      </c>
      <c r="G9" s="5">
        <f t="shared" si="0"/>
        <v>4094</v>
      </c>
    </row>
    <row r="10" spans="1:7" ht="12.75">
      <c r="A10" s="88" t="s">
        <v>7</v>
      </c>
      <c r="B10" s="5">
        <f aca="true" t="shared" si="1" ref="B10:G10">SUM(B7:B9)</f>
        <v>5771</v>
      </c>
      <c r="C10" s="5">
        <f t="shared" si="1"/>
        <v>5945</v>
      </c>
      <c r="D10" s="5">
        <f t="shared" si="1"/>
        <v>71942</v>
      </c>
      <c r="E10" s="5">
        <f t="shared" si="1"/>
        <v>33986</v>
      </c>
      <c r="F10" s="5">
        <f t="shared" si="1"/>
        <v>77713</v>
      </c>
      <c r="G10" s="5">
        <f t="shared" si="1"/>
        <v>39931</v>
      </c>
    </row>
    <row r="11" spans="1:7" ht="12.75">
      <c r="A11" s="88" t="s">
        <v>8</v>
      </c>
      <c r="B11" s="5">
        <v>1581</v>
      </c>
      <c r="C11" s="5">
        <v>1572</v>
      </c>
      <c r="D11" s="5">
        <v>18073</v>
      </c>
      <c r="E11" s="5">
        <v>8197</v>
      </c>
      <c r="F11" s="5">
        <f t="shared" si="0"/>
        <v>19654</v>
      </c>
      <c r="G11" s="5">
        <f t="shared" si="0"/>
        <v>9769</v>
      </c>
    </row>
    <row r="12" spans="1:7" ht="12.75">
      <c r="A12" s="88" t="s">
        <v>9</v>
      </c>
      <c r="B12" s="5">
        <v>29765</v>
      </c>
      <c r="C12" s="5">
        <v>24315</v>
      </c>
      <c r="D12" s="5">
        <v>69380</v>
      </c>
      <c r="E12" s="5">
        <v>34759</v>
      </c>
      <c r="F12" s="5">
        <f t="shared" si="0"/>
        <v>99145</v>
      </c>
      <c r="G12" s="5">
        <f t="shared" si="0"/>
        <v>59074</v>
      </c>
    </row>
    <row r="13" spans="1:7" ht="13.5" customHeight="1">
      <c r="A13" s="88" t="s">
        <v>10</v>
      </c>
      <c r="B13" s="5">
        <v>4944</v>
      </c>
      <c r="C13" s="5">
        <v>281</v>
      </c>
      <c r="D13" s="5">
        <v>1075</v>
      </c>
      <c r="E13" s="5">
        <v>1192</v>
      </c>
      <c r="F13" s="5">
        <f t="shared" si="0"/>
        <v>6019</v>
      </c>
      <c r="G13" s="5">
        <f t="shared" si="0"/>
        <v>1473</v>
      </c>
    </row>
    <row r="14" spans="1:7" ht="12.75">
      <c r="A14" s="88" t="s">
        <v>11</v>
      </c>
      <c r="B14" s="5">
        <v>6000</v>
      </c>
      <c r="C14" s="5">
        <v>3000</v>
      </c>
      <c r="D14" s="5"/>
      <c r="E14" s="5"/>
      <c r="F14" s="5">
        <f t="shared" si="0"/>
        <v>6000</v>
      </c>
      <c r="G14" s="5">
        <f t="shared" si="0"/>
        <v>3000</v>
      </c>
    </row>
    <row r="15" spans="1:7" ht="12.75">
      <c r="A15" s="88" t="s">
        <v>12</v>
      </c>
      <c r="B15" s="5"/>
      <c r="C15" s="5"/>
      <c r="D15" s="5"/>
      <c r="E15" s="5"/>
      <c r="F15" s="5">
        <f t="shared" si="0"/>
        <v>0</v>
      </c>
      <c r="G15" s="5">
        <f t="shared" si="0"/>
        <v>0</v>
      </c>
    </row>
    <row r="16" spans="1:7" s="3" customFormat="1" ht="12.75">
      <c r="A16" s="89" t="s">
        <v>15</v>
      </c>
      <c r="B16" s="6">
        <f aca="true" t="shared" si="2" ref="B16:G16">SUM(B10:B15)</f>
        <v>48061</v>
      </c>
      <c r="C16" s="6">
        <f t="shared" si="2"/>
        <v>35113</v>
      </c>
      <c r="D16" s="6">
        <f t="shared" si="2"/>
        <v>160470</v>
      </c>
      <c r="E16" s="6">
        <f t="shared" si="2"/>
        <v>78134</v>
      </c>
      <c r="F16" s="6">
        <f t="shared" si="2"/>
        <v>208531</v>
      </c>
      <c r="G16" s="6">
        <f t="shared" si="2"/>
        <v>113247</v>
      </c>
    </row>
    <row r="17" spans="1:7" s="3" customFormat="1" ht="12.75">
      <c r="A17" s="89" t="s">
        <v>156</v>
      </c>
      <c r="B17" s="6">
        <v>0</v>
      </c>
      <c r="C17" s="6"/>
      <c r="D17" s="6">
        <v>0</v>
      </c>
      <c r="E17" s="6"/>
      <c r="F17" s="5">
        <f t="shared" si="0"/>
        <v>0</v>
      </c>
      <c r="G17" s="5">
        <f t="shared" si="0"/>
        <v>0</v>
      </c>
    </row>
    <row r="18" spans="1:7" ht="12.75">
      <c r="A18" s="88" t="s">
        <v>13</v>
      </c>
      <c r="B18" s="5">
        <v>5937</v>
      </c>
      <c r="C18" s="5"/>
      <c r="D18" s="5">
        <v>0</v>
      </c>
      <c r="E18" s="5"/>
      <c r="F18" s="5">
        <f t="shared" si="0"/>
        <v>5937</v>
      </c>
      <c r="G18" s="5">
        <f t="shared" si="0"/>
        <v>0</v>
      </c>
    </row>
    <row r="19" spans="1:7" ht="12.75">
      <c r="A19" s="88" t="s">
        <v>14</v>
      </c>
      <c r="B19" s="5"/>
      <c r="C19" s="5"/>
      <c r="D19" s="5">
        <v>0</v>
      </c>
      <c r="E19" s="5"/>
      <c r="F19" s="5">
        <f t="shared" si="0"/>
        <v>0</v>
      </c>
      <c r="G19" s="5">
        <f t="shared" si="0"/>
        <v>0</v>
      </c>
    </row>
    <row r="20" spans="1:7" s="3" customFormat="1" ht="12.75">
      <c r="A20" s="89" t="s">
        <v>16</v>
      </c>
      <c r="B20" s="6">
        <f aca="true" t="shared" si="3" ref="B20:G20">SUM(B18:B19)</f>
        <v>5937</v>
      </c>
      <c r="C20" s="6">
        <f t="shared" si="3"/>
        <v>0</v>
      </c>
      <c r="D20" s="6">
        <f t="shared" si="3"/>
        <v>0</v>
      </c>
      <c r="E20" s="6">
        <f t="shared" si="3"/>
        <v>0</v>
      </c>
      <c r="F20" s="6">
        <f t="shared" si="3"/>
        <v>5937</v>
      </c>
      <c r="G20" s="6">
        <f t="shared" si="3"/>
        <v>0</v>
      </c>
    </row>
    <row r="21" spans="1:7" s="4" customFormat="1" ht="13.5" customHeight="1">
      <c r="A21" s="90" t="s">
        <v>17</v>
      </c>
      <c r="B21" s="7">
        <f aca="true" t="shared" si="4" ref="B21:G21">B16+B20</f>
        <v>53998</v>
      </c>
      <c r="C21" s="7">
        <f t="shared" si="4"/>
        <v>35113</v>
      </c>
      <c r="D21" s="7">
        <f t="shared" si="4"/>
        <v>160470</v>
      </c>
      <c r="E21" s="7">
        <f t="shared" si="4"/>
        <v>78134</v>
      </c>
      <c r="F21" s="7">
        <f t="shared" si="4"/>
        <v>214468</v>
      </c>
      <c r="G21" s="7">
        <f t="shared" si="4"/>
        <v>113247</v>
      </c>
    </row>
    <row r="22" spans="1:7" s="3" customFormat="1" ht="12.75">
      <c r="A22" s="89" t="s">
        <v>111</v>
      </c>
      <c r="B22" s="6">
        <v>98430</v>
      </c>
      <c r="C22" s="6">
        <v>50083</v>
      </c>
      <c r="D22" s="6">
        <v>-98430</v>
      </c>
      <c r="E22" s="6">
        <v>-50083</v>
      </c>
      <c r="F22" s="5">
        <f>B22+D22</f>
        <v>0</v>
      </c>
      <c r="G22" s="5">
        <f>C22+E22</f>
        <v>0</v>
      </c>
    </row>
    <row r="23" spans="1:7" s="4" customFormat="1" ht="13.5" customHeight="1">
      <c r="A23" s="90"/>
      <c r="B23" s="7"/>
      <c r="C23" s="7"/>
      <c r="D23" s="7"/>
      <c r="E23" s="7"/>
      <c r="F23" s="7"/>
      <c r="G23" s="7"/>
    </row>
    <row r="24" spans="1:7" ht="12.75">
      <c r="A24" s="88"/>
      <c r="B24" s="5"/>
      <c r="C24" s="5"/>
      <c r="D24" s="5"/>
      <c r="E24" s="5"/>
      <c r="F24" s="5"/>
      <c r="G24" s="5"/>
    </row>
    <row r="25" spans="1:7" ht="12.75">
      <c r="A25" s="91" t="s">
        <v>19</v>
      </c>
      <c r="B25" s="5"/>
      <c r="C25" s="5"/>
      <c r="D25" s="5"/>
      <c r="E25" s="5"/>
      <c r="F25" s="5"/>
      <c r="G25" s="5"/>
    </row>
    <row r="26" spans="1:7" ht="12.75">
      <c r="A26" s="88" t="s">
        <v>20</v>
      </c>
      <c r="B26" s="5">
        <v>6832</v>
      </c>
      <c r="C26" s="5">
        <v>5950</v>
      </c>
      <c r="D26" s="5">
        <v>62040</v>
      </c>
      <c r="E26" s="5">
        <v>25171</v>
      </c>
      <c r="F26" s="5">
        <f>B26+D26</f>
        <v>68872</v>
      </c>
      <c r="G26" s="5">
        <f>C26+E26</f>
        <v>31121</v>
      </c>
    </row>
    <row r="27" spans="1:7" ht="12.75">
      <c r="A27" s="88" t="s">
        <v>21</v>
      </c>
      <c r="B27" s="5">
        <v>35465</v>
      </c>
      <c r="C27" s="5">
        <v>19024</v>
      </c>
      <c r="D27" s="5"/>
      <c r="E27" s="5">
        <v>635</v>
      </c>
      <c r="F27" s="5">
        <f>B27+D27</f>
        <v>35465</v>
      </c>
      <c r="G27" s="5">
        <f>C27+E27</f>
        <v>19659</v>
      </c>
    </row>
    <row r="28" spans="1:7" ht="12.75">
      <c r="A28" s="88" t="s">
        <v>22</v>
      </c>
      <c r="B28" s="5">
        <f aca="true" t="shared" si="5" ref="B28:G28">SUM(B26:B27)</f>
        <v>42297</v>
      </c>
      <c r="C28" s="5">
        <f t="shared" si="5"/>
        <v>24974</v>
      </c>
      <c r="D28" s="5">
        <f t="shared" si="5"/>
        <v>62040</v>
      </c>
      <c r="E28" s="5">
        <f t="shared" si="5"/>
        <v>25806</v>
      </c>
      <c r="F28" s="5">
        <f t="shared" si="5"/>
        <v>104337</v>
      </c>
      <c r="G28" s="5">
        <f t="shared" si="5"/>
        <v>50780</v>
      </c>
    </row>
    <row r="29" spans="1:7" ht="12.75">
      <c r="A29" s="88" t="s">
        <v>252</v>
      </c>
      <c r="B29" s="5"/>
      <c r="C29" s="5">
        <v>1746</v>
      </c>
      <c r="D29" s="5"/>
      <c r="E29" s="5"/>
      <c r="F29" s="5">
        <f aca="true" t="shared" si="6" ref="F29:G32">B29+D29</f>
        <v>0</v>
      </c>
      <c r="G29" s="5">
        <f t="shared" si="6"/>
        <v>1746</v>
      </c>
    </row>
    <row r="30" spans="1:7" ht="12.75">
      <c r="A30" s="88" t="s">
        <v>23</v>
      </c>
      <c r="B30" s="5">
        <v>62675</v>
      </c>
      <c r="C30" s="5">
        <v>31338</v>
      </c>
      <c r="D30" s="5">
        <v>0</v>
      </c>
      <c r="E30" s="5"/>
      <c r="F30" s="5">
        <f t="shared" si="6"/>
        <v>62675</v>
      </c>
      <c r="G30" s="5">
        <f t="shared" si="6"/>
        <v>31338</v>
      </c>
    </row>
    <row r="31" spans="1:7" ht="12.75">
      <c r="A31" s="88" t="s">
        <v>228</v>
      </c>
      <c r="B31" s="5">
        <v>17630</v>
      </c>
      <c r="C31" s="5">
        <v>8814</v>
      </c>
      <c r="D31" s="5">
        <v>0</v>
      </c>
      <c r="E31" s="5"/>
      <c r="F31" s="5">
        <f t="shared" si="6"/>
        <v>17630</v>
      </c>
      <c r="G31" s="5">
        <f t="shared" si="6"/>
        <v>8814</v>
      </c>
    </row>
    <row r="32" spans="1:7" ht="12.75">
      <c r="A32" s="88" t="s">
        <v>251</v>
      </c>
      <c r="B32" s="5"/>
      <c r="C32" s="5">
        <v>1470</v>
      </c>
      <c r="D32" s="5"/>
      <c r="E32" s="5"/>
      <c r="F32" s="5">
        <f t="shared" si="6"/>
        <v>0</v>
      </c>
      <c r="G32" s="5">
        <f t="shared" si="6"/>
        <v>1470</v>
      </c>
    </row>
    <row r="33" spans="1:7" ht="12.75">
      <c r="A33" s="88" t="s">
        <v>24</v>
      </c>
      <c r="B33" s="5">
        <f aca="true" t="shared" si="7" ref="B33:G33">SUM(B30:B32)</f>
        <v>80305</v>
      </c>
      <c r="C33" s="5">
        <f t="shared" si="7"/>
        <v>41622</v>
      </c>
      <c r="D33" s="5">
        <f t="shared" si="7"/>
        <v>0</v>
      </c>
      <c r="E33" s="5">
        <f t="shared" si="7"/>
        <v>0</v>
      </c>
      <c r="F33" s="5">
        <f t="shared" si="7"/>
        <v>80305</v>
      </c>
      <c r="G33" s="5">
        <f t="shared" si="7"/>
        <v>41622</v>
      </c>
    </row>
    <row r="34" spans="1:7" ht="12.75">
      <c r="A34" s="88" t="s">
        <v>25</v>
      </c>
      <c r="B34" s="5">
        <v>29826</v>
      </c>
      <c r="C34" s="5">
        <v>24165</v>
      </c>
      <c r="D34" s="5"/>
      <c r="E34" s="5"/>
      <c r="F34" s="5">
        <f>B34+D34</f>
        <v>29826</v>
      </c>
      <c r="G34" s="5">
        <f>C34+E34</f>
        <v>24165</v>
      </c>
    </row>
    <row r="35" spans="1:7" ht="12.75">
      <c r="A35" s="88" t="s">
        <v>152</v>
      </c>
      <c r="B35" s="5">
        <f aca="true" t="shared" si="8" ref="B35:G35">B28+B29+B33+B34</f>
        <v>152428</v>
      </c>
      <c r="C35" s="5">
        <f t="shared" si="8"/>
        <v>92507</v>
      </c>
      <c r="D35" s="5">
        <f t="shared" si="8"/>
        <v>62040</v>
      </c>
      <c r="E35" s="5">
        <f t="shared" si="8"/>
        <v>25806</v>
      </c>
      <c r="F35" s="5">
        <f t="shared" si="8"/>
        <v>214468</v>
      </c>
      <c r="G35" s="5">
        <f t="shared" si="8"/>
        <v>118313</v>
      </c>
    </row>
    <row r="36" spans="1:7" ht="12.75">
      <c r="A36" s="88" t="s">
        <v>157</v>
      </c>
      <c r="B36" s="5">
        <v>0</v>
      </c>
      <c r="C36" s="5"/>
      <c r="D36" s="5">
        <v>0</v>
      </c>
      <c r="E36" s="5"/>
      <c r="F36" s="5">
        <f>SUM(B36:D36)</f>
        <v>0</v>
      </c>
      <c r="G36" s="5">
        <f>SUM(C36:E36)</f>
        <v>0</v>
      </c>
    </row>
    <row r="37" spans="1:7" s="4" customFormat="1" ht="12.75">
      <c r="A37" s="90" t="s">
        <v>26</v>
      </c>
      <c r="B37" s="7">
        <f aca="true" t="shared" si="9" ref="B37:G37">B35+B36</f>
        <v>152428</v>
      </c>
      <c r="C37" s="7">
        <f t="shared" si="9"/>
        <v>92507</v>
      </c>
      <c r="D37" s="7">
        <f t="shared" si="9"/>
        <v>62040</v>
      </c>
      <c r="E37" s="7">
        <f t="shared" si="9"/>
        <v>25806</v>
      </c>
      <c r="F37" s="7">
        <f t="shared" si="9"/>
        <v>214468</v>
      </c>
      <c r="G37" s="7">
        <f t="shared" si="9"/>
        <v>118313</v>
      </c>
    </row>
    <row r="38" spans="1:7" s="3" customFormat="1" ht="12.75">
      <c r="A38" s="89" t="s">
        <v>111</v>
      </c>
      <c r="B38" s="6">
        <v>-98430</v>
      </c>
      <c r="C38" s="6">
        <v>-50083</v>
      </c>
      <c r="D38" s="6">
        <v>98430</v>
      </c>
      <c r="E38" s="6">
        <v>50083</v>
      </c>
      <c r="F38" s="5">
        <f>B38+D38</f>
        <v>0</v>
      </c>
      <c r="G38" s="5">
        <f>C38+E38</f>
        <v>0</v>
      </c>
    </row>
    <row r="39" spans="1:7" ht="12.75">
      <c r="A39" s="88"/>
      <c r="B39" s="5"/>
      <c r="C39" s="5"/>
      <c r="D39" s="5"/>
      <c r="E39" s="5"/>
      <c r="F39" s="5"/>
      <c r="G39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95" bottom="0.54" header="0.26" footer="0.34"/>
  <pageSetup horizontalDpi="600" verticalDpi="600" orientation="landscape" paperSize="9" r:id="rId1"/>
  <headerFooter alignWithMargins="0">
    <oddHeader>&amp;C&amp;"Times New Roman,Félkövér dőlt"&amp;11
Polgári Kistérség Többcélú Társulásának 2013.évi költségvetési bevételei és kiadásai&amp;R&amp;"Times New Roman,Dőlt"&amp;8 1.számú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2" sqref="F2"/>
    </sheetView>
  </sheetViews>
  <sheetFormatPr defaultColWidth="12.7109375" defaultRowHeight="12.75"/>
  <cols>
    <col min="1" max="1" width="5.140625" style="98" customWidth="1"/>
    <col min="2" max="2" width="32.710937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93" t="s">
        <v>330</v>
      </c>
      <c r="B2" s="194" t="s">
        <v>347</v>
      </c>
      <c r="C2" s="181"/>
      <c r="D2" s="195">
        <v>2337262</v>
      </c>
      <c r="E2" s="195">
        <v>467196</v>
      </c>
      <c r="F2" s="196">
        <f aca="true" t="shared" si="0" ref="F2:F7">D2-E2</f>
        <v>1870066</v>
      </c>
    </row>
    <row r="3" spans="1:6" ht="12.75">
      <c r="A3" s="197"/>
      <c r="B3" s="88" t="s">
        <v>354</v>
      </c>
      <c r="C3" s="91"/>
      <c r="D3" s="5"/>
      <c r="E3" s="5"/>
      <c r="F3" s="198">
        <f t="shared" si="0"/>
        <v>0</v>
      </c>
    </row>
    <row r="4" spans="1:6" ht="12.75">
      <c r="A4" s="197" t="s">
        <v>333</v>
      </c>
      <c r="B4" s="88" t="s">
        <v>356</v>
      </c>
      <c r="C4" s="91" t="s">
        <v>332</v>
      </c>
      <c r="D4" s="5">
        <v>280000</v>
      </c>
      <c r="E4" s="5">
        <v>280000</v>
      </c>
      <c r="F4" s="198">
        <f t="shared" si="0"/>
        <v>0</v>
      </c>
    </row>
    <row r="5" spans="1:6" ht="12.75">
      <c r="A5" s="197" t="s">
        <v>335</v>
      </c>
      <c r="B5" s="88" t="s">
        <v>358</v>
      </c>
      <c r="C5" s="91" t="s">
        <v>332</v>
      </c>
      <c r="D5" s="5">
        <v>12500</v>
      </c>
      <c r="E5" s="5">
        <v>12500</v>
      </c>
      <c r="F5" s="198">
        <f t="shared" si="0"/>
        <v>0</v>
      </c>
    </row>
    <row r="6" spans="1:6" ht="12.75">
      <c r="A6" s="197" t="s">
        <v>338</v>
      </c>
      <c r="B6" s="88" t="s">
        <v>362</v>
      </c>
      <c r="C6" s="91" t="s">
        <v>332</v>
      </c>
      <c r="D6" s="5">
        <v>16000</v>
      </c>
      <c r="E6" s="5">
        <v>16000</v>
      </c>
      <c r="F6" s="198">
        <f t="shared" si="0"/>
        <v>0</v>
      </c>
    </row>
    <row r="7" spans="1:6" ht="12.75">
      <c r="A7" s="197" t="s">
        <v>340</v>
      </c>
      <c r="B7" s="88" t="s">
        <v>390</v>
      </c>
      <c r="C7" s="91" t="s">
        <v>332</v>
      </c>
      <c r="D7" s="5">
        <v>59900</v>
      </c>
      <c r="E7" s="5">
        <v>59900</v>
      </c>
      <c r="F7" s="198">
        <f t="shared" si="0"/>
        <v>0</v>
      </c>
    </row>
    <row r="8" spans="1:6" ht="12.75">
      <c r="A8" s="199"/>
      <c r="B8" s="189" t="s">
        <v>324</v>
      </c>
      <c r="C8" s="190"/>
      <c r="D8" s="11">
        <f>SUM(D2:D7)</f>
        <v>2705662</v>
      </c>
      <c r="E8" s="11">
        <f>SUM(E2:E7)</f>
        <v>835596</v>
      </c>
      <c r="F8" s="200">
        <f>SUM(F2:F7)</f>
        <v>1870066</v>
      </c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dőlt"Kimutatás Folyás Község Önkormányzatának átadott befektetett eszközökről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2" sqref="F2"/>
    </sheetView>
  </sheetViews>
  <sheetFormatPr defaultColWidth="12.7109375" defaultRowHeight="12.75"/>
  <cols>
    <col min="1" max="1" width="5.140625" style="98" customWidth="1"/>
    <col min="2" max="2" width="23.14062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93" t="s">
        <v>330</v>
      </c>
      <c r="B2" s="194" t="s">
        <v>347</v>
      </c>
      <c r="C2" s="181"/>
      <c r="D2" s="195">
        <v>6520025</v>
      </c>
      <c r="E2" s="195">
        <v>1303291</v>
      </c>
      <c r="F2" s="196">
        <f aca="true" t="shared" si="0" ref="F2:F8">D2-E2</f>
        <v>5216734</v>
      </c>
    </row>
    <row r="3" spans="1:6" ht="12.75">
      <c r="A3" s="197" t="s">
        <v>333</v>
      </c>
      <c r="B3" s="88" t="s">
        <v>354</v>
      </c>
      <c r="C3" s="91"/>
      <c r="D3" s="5"/>
      <c r="E3" s="5"/>
      <c r="F3" s="198">
        <f t="shared" si="0"/>
        <v>0</v>
      </c>
    </row>
    <row r="4" spans="1:6" ht="12.75">
      <c r="A4" s="197"/>
      <c r="B4" s="88" t="s">
        <v>356</v>
      </c>
      <c r="C4" s="91" t="s">
        <v>332</v>
      </c>
      <c r="D4" s="5">
        <v>280000</v>
      </c>
      <c r="E4" s="5">
        <v>280000</v>
      </c>
      <c r="F4" s="198">
        <f t="shared" si="0"/>
        <v>0</v>
      </c>
    </row>
    <row r="5" spans="1:6" ht="12.75">
      <c r="A5" s="197"/>
      <c r="B5" s="88" t="s">
        <v>358</v>
      </c>
      <c r="C5" s="91" t="s">
        <v>332</v>
      </c>
      <c r="D5" s="5">
        <v>12500</v>
      </c>
      <c r="E5" s="5">
        <v>12500</v>
      </c>
      <c r="F5" s="198">
        <f t="shared" si="0"/>
        <v>0</v>
      </c>
    </row>
    <row r="6" spans="1:6" ht="12.75">
      <c r="A6" s="197"/>
      <c r="B6" s="88" t="s">
        <v>362</v>
      </c>
      <c r="C6" s="91" t="s">
        <v>332</v>
      </c>
      <c r="D6" s="5">
        <v>16000</v>
      </c>
      <c r="E6" s="5">
        <v>16000</v>
      </c>
      <c r="F6" s="198">
        <f t="shared" si="0"/>
        <v>0</v>
      </c>
    </row>
    <row r="7" spans="1:6" ht="12.75">
      <c r="A7" s="197"/>
      <c r="B7" s="88" t="s">
        <v>390</v>
      </c>
      <c r="C7" s="91" t="s">
        <v>332</v>
      </c>
      <c r="D7" s="5">
        <v>59900</v>
      </c>
      <c r="E7" s="5">
        <v>59900</v>
      </c>
      <c r="F7" s="198">
        <f t="shared" si="0"/>
        <v>0</v>
      </c>
    </row>
    <row r="8" spans="1:6" ht="12.75">
      <c r="A8" s="197" t="s">
        <v>335</v>
      </c>
      <c r="B8" s="88" t="s">
        <v>391</v>
      </c>
      <c r="C8" s="91" t="s">
        <v>332</v>
      </c>
      <c r="D8" s="5">
        <v>85000</v>
      </c>
      <c r="E8" s="5">
        <v>85000</v>
      </c>
      <c r="F8" s="198">
        <f t="shared" si="0"/>
        <v>0</v>
      </c>
    </row>
    <row r="9" spans="1:6" ht="12.75">
      <c r="A9" s="199"/>
      <c r="B9" s="189" t="s">
        <v>324</v>
      </c>
      <c r="C9" s="190"/>
      <c r="D9" s="11">
        <f>SUM(D2:D8)</f>
        <v>6973425</v>
      </c>
      <c r="E9" s="11">
        <f>SUM(E2:E8)</f>
        <v>1756691</v>
      </c>
      <c r="F9" s="200">
        <f>SUM(F2:F8)</f>
        <v>5216734</v>
      </c>
    </row>
  </sheetData>
  <sheetProtection/>
  <printOptions horizontalCentered="1"/>
  <pageMargins left="0.7874015748031497" right="0.7874015748031497" top="1.6141732283464567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dőlt"Kimutatás Görbeháza Község Önkormányzatának átadott befektetett eszközökről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" sqref="F3"/>
    </sheetView>
  </sheetViews>
  <sheetFormatPr defaultColWidth="12.7109375" defaultRowHeight="12.75"/>
  <cols>
    <col min="1" max="1" width="4.421875" style="1" customWidth="1"/>
    <col min="2" max="2" width="32.0039062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79" t="s">
        <v>330</v>
      </c>
      <c r="B2" s="180" t="s">
        <v>331</v>
      </c>
      <c r="C2" s="181" t="s">
        <v>332</v>
      </c>
      <c r="D2" s="182">
        <v>480000</v>
      </c>
      <c r="E2" s="182">
        <v>345506</v>
      </c>
      <c r="F2" s="183">
        <f aca="true" t="shared" si="0" ref="F2:F30">D2-E2</f>
        <v>134494</v>
      </c>
    </row>
    <row r="3" spans="1:6" ht="12.75">
      <c r="A3" s="184" t="s">
        <v>333</v>
      </c>
      <c r="B3" s="185" t="s">
        <v>334</v>
      </c>
      <c r="C3" s="91" t="s">
        <v>332</v>
      </c>
      <c r="D3" s="186">
        <v>42825</v>
      </c>
      <c r="E3" s="186">
        <v>42825</v>
      </c>
      <c r="F3" s="187">
        <f t="shared" si="0"/>
        <v>0</v>
      </c>
    </row>
    <row r="4" spans="1:6" ht="12.75">
      <c r="A4" s="184" t="s">
        <v>335</v>
      </c>
      <c r="B4" s="185" t="s">
        <v>336</v>
      </c>
      <c r="C4" s="91" t="s">
        <v>337</v>
      </c>
      <c r="D4" s="186">
        <v>54120</v>
      </c>
      <c r="E4" s="186">
        <v>54120</v>
      </c>
      <c r="F4" s="187">
        <f t="shared" si="0"/>
        <v>0</v>
      </c>
    </row>
    <row r="5" spans="1:6" ht="12.75">
      <c r="A5" s="184" t="s">
        <v>338</v>
      </c>
      <c r="B5" s="185" t="s">
        <v>339</v>
      </c>
      <c r="C5" s="91" t="s">
        <v>332</v>
      </c>
      <c r="D5" s="186">
        <v>54150</v>
      </c>
      <c r="E5" s="186">
        <v>54150</v>
      </c>
      <c r="F5" s="187">
        <f t="shared" si="0"/>
        <v>0</v>
      </c>
    </row>
    <row r="6" spans="1:6" ht="12.75">
      <c r="A6" s="184" t="s">
        <v>340</v>
      </c>
      <c r="B6" s="185" t="s">
        <v>341</v>
      </c>
      <c r="C6" s="91" t="s">
        <v>337</v>
      </c>
      <c r="D6" s="186">
        <v>116424</v>
      </c>
      <c r="E6" s="186">
        <v>116424</v>
      </c>
      <c r="F6" s="187">
        <f t="shared" si="0"/>
        <v>0</v>
      </c>
    </row>
    <row r="7" spans="1:6" ht="12.75">
      <c r="A7" s="184" t="s">
        <v>342</v>
      </c>
      <c r="B7" s="185" t="s">
        <v>343</v>
      </c>
      <c r="C7" s="91" t="s">
        <v>332</v>
      </c>
      <c r="D7" s="186">
        <v>265900</v>
      </c>
      <c r="E7" s="186">
        <v>265900</v>
      </c>
      <c r="F7" s="187">
        <f t="shared" si="0"/>
        <v>0</v>
      </c>
    </row>
    <row r="8" spans="1:6" ht="12.75">
      <c r="A8" s="184" t="s">
        <v>344</v>
      </c>
      <c r="B8" s="185" t="s">
        <v>345</v>
      </c>
      <c r="C8" s="91" t="s">
        <v>332</v>
      </c>
      <c r="D8" s="186">
        <v>300000</v>
      </c>
      <c r="E8" s="186">
        <v>300000</v>
      </c>
      <c r="F8" s="187">
        <f t="shared" si="0"/>
        <v>0</v>
      </c>
    </row>
    <row r="9" spans="1:6" ht="12.75">
      <c r="A9" s="184" t="s">
        <v>346</v>
      </c>
      <c r="B9" s="185" t="s">
        <v>347</v>
      </c>
      <c r="C9" s="91"/>
      <c r="D9" s="186">
        <v>17200333</v>
      </c>
      <c r="E9" s="186">
        <v>3438182</v>
      </c>
      <c r="F9" s="187">
        <f t="shared" si="0"/>
        <v>13762151</v>
      </c>
    </row>
    <row r="10" spans="1:6" ht="12.75">
      <c r="A10" s="184" t="s">
        <v>348</v>
      </c>
      <c r="B10" s="185" t="s">
        <v>349</v>
      </c>
      <c r="C10" s="91"/>
      <c r="D10" s="186">
        <v>7549000</v>
      </c>
      <c r="E10" s="186">
        <v>1490358</v>
      </c>
      <c r="F10" s="187">
        <f t="shared" si="0"/>
        <v>6058642</v>
      </c>
    </row>
    <row r="11" spans="1:6" ht="12.75">
      <c r="A11" s="184" t="s">
        <v>350</v>
      </c>
      <c r="B11" s="185" t="s">
        <v>351</v>
      </c>
      <c r="C11" s="91" t="s">
        <v>332</v>
      </c>
      <c r="D11" s="186">
        <v>108780</v>
      </c>
      <c r="E11" s="186">
        <v>108780</v>
      </c>
      <c r="F11" s="187">
        <f t="shared" si="0"/>
        <v>0</v>
      </c>
    </row>
    <row r="12" spans="1:6" ht="12.75">
      <c r="A12" s="184" t="s">
        <v>352</v>
      </c>
      <c r="B12" s="185" t="s">
        <v>353</v>
      </c>
      <c r="C12" s="91" t="s">
        <v>332</v>
      </c>
      <c r="D12" s="186">
        <v>110000</v>
      </c>
      <c r="E12" s="186">
        <v>47556</v>
      </c>
      <c r="F12" s="187">
        <f t="shared" si="0"/>
        <v>62444</v>
      </c>
    </row>
    <row r="13" spans="1:6" ht="12.75">
      <c r="A13" s="184"/>
      <c r="B13" s="185" t="s">
        <v>354</v>
      </c>
      <c r="C13" s="91"/>
      <c r="D13" s="186"/>
      <c r="E13" s="186"/>
      <c r="F13" s="187">
        <f t="shared" si="0"/>
        <v>0</v>
      </c>
    </row>
    <row r="14" spans="1:6" ht="12.75">
      <c r="A14" s="184" t="s">
        <v>355</v>
      </c>
      <c r="B14" s="185" t="s">
        <v>356</v>
      </c>
      <c r="C14" s="91" t="s">
        <v>332</v>
      </c>
      <c r="D14" s="186">
        <v>280000</v>
      </c>
      <c r="E14" s="186">
        <v>280000</v>
      </c>
      <c r="F14" s="187">
        <f t="shared" si="0"/>
        <v>0</v>
      </c>
    </row>
    <row r="15" spans="1:6" ht="12.75">
      <c r="A15" s="184" t="s">
        <v>357</v>
      </c>
      <c r="B15" s="185" t="s">
        <v>358</v>
      </c>
      <c r="C15" s="91" t="s">
        <v>332</v>
      </c>
      <c r="D15" s="186">
        <v>12500</v>
      </c>
      <c r="E15" s="186">
        <v>12500</v>
      </c>
      <c r="F15" s="187">
        <f t="shared" si="0"/>
        <v>0</v>
      </c>
    </row>
    <row r="16" spans="1:6" ht="12.75">
      <c r="A16" s="184" t="s">
        <v>359</v>
      </c>
      <c r="B16" s="185" t="s">
        <v>360</v>
      </c>
      <c r="C16" s="91" t="s">
        <v>332</v>
      </c>
      <c r="D16" s="186">
        <v>30000</v>
      </c>
      <c r="E16" s="186">
        <v>30000</v>
      </c>
      <c r="F16" s="187">
        <f t="shared" si="0"/>
        <v>0</v>
      </c>
    </row>
    <row r="17" spans="1:6" ht="12.75">
      <c r="A17" s="184" t="s">
        <v>361</v>
      </c>
      <c r="B17" s="185" t="s">
        <v>362</v>
      </c>
      <c r="C17" s="91" t="s">
        <v>332</v>
      </c>
      <c r="D17" s="186">
        <v>16000</v>
      </c>
      <c r="E17" s="186">
        <v>16000</v>
      </c>
      <c r="F17" s="187">
        <f t="shared" si="0"/>
        <v>0</v>
      </c>
    </row>
    <row r="18" spans="1:6" ht="12.75">
      <c r="A18" s="184" t="s">
        <v>363</v>
      </c>
      <c r="B18" s="185" t="s">
        <v>364</v>
      </c>
      <c r="C18" s="91" t="s">
        <v>332</v>
      </c>
      <c r="D18" s="186">
        <v>22000</v>
      </c>
      <c r="E18" s="186">
        <v>22000</v>
      </c>
      <c r="F18" s="187">
        <f t="shared" si="0"/>
        <v>0</v>
      </c>
    </row>
    <row r="19" spans="1:6" ht="12.75">
      <c r="A19" s="184" t="s">
        <v>365</v>
      </c>
      <c r="B19" s="185" t="s">
        <v>366</v>
      </c>
      <c r="C19" s="91" t="s">
        <v>332</v>
      </c>
      <c r="D19" s="186">
        <v>254534</v>
      </c>
      <c r="E19" s="186">
        <v>254534</v>
      </c>
      <c r="F19" s="187">
        <f t="shared" si="0"/>
        <v>0</v>
      </c>
    </row>
    <row r="20" spans="1:6" ht="12.75">
      <c r="A20" s="184" t="s">
        <v>367</v>
      </c>
      <c r="B20" s="185" t="s">
        <v>368</v>
      </c>
      <c r="C20" s="91" t="s">
        <v>337</v>
      </c>
      <c r="D20" s="186">
        <v>329604</v>
      </c>
      <c r="E20" s="186">
        <v>329604</v>
      </c>
      <c r="F20" s="187">
        <f t="shared" si="0"/>
        <v>0</v>
      </c>
    </row>
    <row r="21" spans="1:6" ht="12.75">
      <c r="A21" s="184" t="s">
        <v>369</v>
      </c>
      <c r="B21" s="185" t="s">
        <v>370</v>
      </c>
      <c r="C21" s="91" t="s">
        <v>332</v>
      </c>
      <c r="D21" s="186">
        <v>160000</v>
      </c>
      <c r="E21" s="186">
        <v>160000</v>
      </c>
      <c r="F21" s="187">
        <f t="shared" si="0"/>
        <v>0</v>
      </c>
    </row>
    <row r="22" spans="1:6" ht="12.75">
      <c r="A22" s="184" t="s">
        <v>371</v>
      </c>
      <c r="B22" s="185" t="s">
        <v>372</v>
      </c>
      <c r="C22" s="91" t="s">
        <v>332</v>
      </c>
      <c r="D22" s="186">
        <v>229500</v>
      </c>
      <c r="E22" s="186">
        <v>229500</v>
      </c>
      <c r="F22" s="187">
        <f t="shared" si="0"/>
        <v>0</v>
      </c>
    </row>
    <row r="23" spans="1:6" ht="12.75">
      <c r="A23" s="184" t="s">
        <v>373</v>
      </c>
      <c r="B23" s="185" t="s">
        <v>374</v>
      </c>
      <c r="C23" s="91" t="s">
        <v>375</v>
      </c>
      <c r="D23" s="186">
        <v>2036000</v>
      </c>
      <c r="E23" s="186">
        <v>2036000</v>
      </c>
      <c r="F23" s="187">
        <f t="shared" si="0"/>
        <v>0</v>
      </c>
    </row>
    <row r="24" spans="1:6" ht="12.75">
      <c r="A24" s="184" t="s">
        <v>376</v>
      </c>
      <c r="B24" s="185" t="s">
        <v>377</v>
      </c>
      <c r="C24" s="91" t="s">
        <v>332</v>
      </c>
      <c r="D24" s="186">
        <v>38200</v>
      </c>
      <c r="E24" s="186">
        <v>38200</v>
      </c>
      <c r="F24" s="187">
        <f t="shared" si="0"/>
        <v>0</v>
      </c>
    </row>
    <row r="25" spans="1:6" ht="12.75">
      <c r="A25" s="184" t="s">
        <v>378</v>
      </c>
      <c r="B25" s="185" t="s">
        <v>379</v>
      </c>
      <c r="C25" s="91" t="s">
        <v>332</v>
      </c>
      <c r="D25" s="186">
        <v>218400</v>
      </c>
      <c r="E25" s="186">
        <v>218400</v>
      </c>
      <c r="F25" s="187">
        <f t="shared" si="0"/>
        <v>0</v>
      </c>
    </row>
    <row r="26" spans="1:6" ht="12.75">
      <c r="A26" s="184" t="s">
        <v>380</v>
      </c>
      <c r="B26" s="185" t="s">
        <v>381</v>
      </c>
      <c r="C26" s="91" t="s">
        <v>332</v>
      </c>
      <c r="D26" s="186">
        <v>196500</v>
      </c>
      <c r="E26" s="186">
        <v>196500</v>
      </c>
      <c r="F26" s="187">
        <f t="shared" si="0"/>
        <v>0</v>
      </c>
    </row>
    <row r="27" spans="1:6" ht="12.75">
      <c r="A27" s="184" t="s">
        <v>382</v>
      </c>
      <c r="B27" s="185" t="s">
        <v>383</v>
      </c>
      <c r="C27" s="91" t="s">
        <v>332</v>
      </c>
      <c r="D27" s="186">
        <v>261000</v>
      </c>
      <c r="E27" s="186">
        <v>174801</v>
      </c>
      <c r="F27" s="187">
        <f t="shared" si="0"/>
        <v>86199</v>
      </c>
    </row>
    <row r="28" spans="1:6" ht="12.75">
      <c r="A28" s="184" t="s">
        <v>384</v>
      </c>
      <c r="B28" s="185" t="s">
        <v>385</v>
      </c>
      <c r="C28" s="91" t="s">
        <v>337</v>
      </c>
      <c r="D28" s="186">
        <v>198680</v>
      </c>
      <c r="E28" s="186">
        <v>198680</v>
      </c>
      <c r="F28" s="187">
        <f t="shared" si="0"/>
        <v>0</v>
      </c>
    </row>
    <row r="29" spans="1:6" ht="12.75">
      <c r="A29" s="184" t="s">
        <v>386</v>
      </c>
      <c r="B29" s="185" t="s">
        <v>387</v>
      </c>
      <c r="C29" s="91" t="s">
        <v>332</v>
      </c>
      <c r="D29" s="186">
        <v>225720</v>
      </c>
      <c r="E29" s="186">
        <v>225720</v>
      </c>
      <c r="F29" s="187">
        <f t="shared" si="0"/>
        <v>0</v>
      </c>
    </row>
    <row r="30" spans="1:6" ht="12.75">
      <c r="A30" s="184" t="s">
        <v>388</v>
      </c>
      <c r="B30" s="185" t="s">
        <v>389</v>
      </c>
      <c r="C30" s="91" t="s">
        <v>332</v>
      </c>
      <c r="D30" s="186">
        <v>175320</v>
      </c>
      <c r="E30" s="186">
        <v>175320</v>
      </c>
      <c r="F30" s="187">
        <f t="shared" si="0"/>
        <v>0</v>
      </c>
    </row>
    <row r="31" spans="1:6" ht="12.75">
      <c r="A31" s="188"/>
      <c r="B31" s="189" t="s">
        <v>324</v>
      </c>
      <c r="C31" s="190"/>
      <c r="D31" s="191">
        <f>SUM(D2:D30)</f>
        <v>30965490</v>
      </c>
      <c r="E31" s="191">
        <f>SUM(E2:E30)</f>
        <v>10861560</v>
      </c>
      <c r="F31" s="192">
        <f>SUM(F2:F30)</f>
        <v>20103930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Roman,Félkövér dőlt"Kimutatás a Polgár Város Önkormányzatának átadott befektetett eszközökről&amp;"Arial,Normál"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2" sqref="F2"/>
    </sheetView>
  </sheetViews>
  <sheetFormatPr defaultColWidth="12.7109375" defaultRowHeight="12.75"/>
  <cols>
    <col min="1" max="1" width="5.140625" style="98" customWidth="1"/>
    <col min="2" max="2" width="34.0039062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93" t="s">
        <v>330</v>
      </c>
      <c r="B2" s="194" t="s">
        <v>331</v>
      </c>
      <c r="C2" s="181" t="s">
        <v>332</v>
      </c>
      <c r="D2" s="195">
        <v>480000</v>
      </c>
      <c r="E2" s="195">
        <v>345506</v>
      </c>
      <c r="F2" s="196">
        <f aca="true" t="shared" si="0" ref="F2:F40">D2-E2</f>
        <v>134494</v>
      </c>
    </row>
    <row r="3" spans="1:6" ht="12.75">
      <c r="A3" s="197" t="s">
        <v>333</v>
      </c>
      <c r="B3" s="88" t="s">
        <v>392</v>
      </c>
      <c r="C3" s="91" t="s">
        <v>332</v>
      </c>
      <c r="D3" s="5">
        <v>54150</v>
      </c>
      <c r="E3" s="5">
        <v>54150</v>
      </c>
      <c r="F3" s="198">
        <f t="shared" si="0"/>
        <v>0</v>
      </c>
    </row>
    <row r="4" spans="1:6" ht="12.75">
      <c r="A4" s="197" t="s">
        <v>335</v>
      </c>
      <c r="B4" s="88" t="s">
        <v>392</v>
      </c>
      <c r="C4" s="91" t="s">
        <v>332</v>
      </c>
      <c r="D4" s="5">
        <v>12800</v>
      </c>
      <c r="E4" s="5">
        <v>12800</v>
      </c>
      <c r="F4" s="198">
        <f t="shared" si="0"/>
        <v>0</v>
      </c>
    </row>
    <row r="5" spans="1:6" ht="12.75">
      <c r="A5" s="197" t="s">
        <v>338</v>
      </c>
      <c r="B5" s="88" t="s">
        <v>339</v>
      </c>
      <c r="C5" s="91" t="s">
        <v>393</v>
      </c>
      <c r="D5" s="5">
        <v>219938</v>
      </c>
      <c r="E5" s="5">
        <v>219938</v>
      </c>
      <c r="F5" s="198">
        <f t="shared" si="0"/>
        <v>0</v>
      </c>
    </row>
    <row r="6" spans="1:6" ht="12.75">
      <c r="A6" s="197" t="s">
        <v>340</v>
      </c>
      <c r="B6" s="88" t="s">
        <v>334</v>
      </c>
      <c r="C6" s="91" t="s">
        <v>332</v>
      </c>
      <c r="D6" s="5">
        <v>39991</v>
      </c>
      <c r="E6" s="5">
        <v>39991</v>
      </c>
      <c r="F6" s="198">
        <f t="shared" si="0"/>
        <v>0</v>
      </c>
    </row>
    <row r="7" spans="1:6" ht="12.75">
      <c r="A7" s="197" t="s">
        <v>342</v>
      </c>
      <c r="B7" s="88" t="s">
        <v>334</v>
      </c>
      <c r="C7" s="91" t="s">
        <v>332</v>
      </c>
      <c r="D7" s="5">
        <v>29699</v>
      </c>
      <c r="E7" s="5">
        <v>25724</v>
      </c>
      <c r="F7" s="198">
        <f t="shared" si="0"/>
        <v>3975</v>
      </c>
    </row>
    <row r="8" spans="1:6" ht="12.75">
      <c r="A8" s="197" t="s">
        <v>344</v>
      </c>
      <c r="B8" s="88" t="s">
        <v>334</v>
      </c>
      <c r="C8" s="91" t="s">
        <v>332</v>
      </c>
      <c r="D8" s="5">
        <v>22302</v>
      </c>
      <c r="E8" s="5">
        <v>22302</v>
      </c>
      <c r="F8" s="198">
        <f t="shared" si="0"/>
        <v>0</v>
      </c>
    </row>
    <row r="9" spans="1:6" ht="12.75">
      <c r="A9" s="197" t="s">
        <v>346</v>
      </c>
      <c r="B9" s="88" t="s">
        <v>334</v>
      </c>
      <c r="C9" s="91" t="s">
        <v>393</v>
      </c>
      <c r="D9" s="5">
        <v>262050</v>
      </c>
      <c r="E9" s="5">
        <v>262050</v>
      </c>
      <c r="F9" s="198">
        <f t="shared" si="0"/>
        <v>0</v>
      </c>
    </row>
    <row r="10" spans="1:6" ht="12.75">
      <c r="A10" s="197" t="s">
        <v>348</v>
      </c>
      <c r="B10" s="88" t="s">
        <v>394</v>
      </c>
      <c r="C10" s="91" t="s">
        <v>393</v>
      </c>
      <c r="D10" s="5">
        <v>135000</v>
      </c>
      <c r="E10" s="5">
        <v>46436</v>
      </c>
      <c r="F10" s="198">
        <f t="shared" si="0"/>
        <v>88564</v>
      </c>
    </row>
    <row r="11" spans="1:6" ht="12.75">
      <c r="A11" s="197" t="s">
        <v>350</v>
      </c>
      <c r="B11" s="88" t="s">
        <v>395</v>
      </c>
      <c r="C11" s="91" t="s">
        <v>393</v>
      </c>
      <c r="D11" s="5">
        <v>187500</v>
      </c>
      <c r="E11" s="5">
        <v>64494</v>
      </c>
      <c r="F11" s="198">
        <f t="shared" si="0"/>
        <v>123006</v>
      </c>
    </row>
    <row r="12" spans="1:6" ht="12.75">
      <c r="A12" s="197" t="s">
        <v>352</v>
      </c>
      <c r="B12" s="88" t="s">
        <v>396</v>
      </c>
      <c r="C12" s="91" t="s">
        <v>332</v>
      </c>
      <c r="D12" s="5">
        <v>1478400</v>
      </c>
      <c r="E12" s="5">
        <v>1478400</v>
      </c>
      <c r="F12" s="198">
        <f t="shared" si="0"/>
        <v>0</v>
      </c>
    </row>
    <row r="13" spans="1:6" ht="12.75">
      <c r="A13" s="197" t="s">
        <v>355</v>
      </c>
      <c r="B13" s="88" t="s">
        <v>397</v>
      </c>
      <c r="C13" s="91" t="s">
        <v>332</v>
      </c>
      <c r="D13" s="5">
        <v>241350</v>
      </c>
      <c r="E13" s="5">
        <v>241350</v>
      </c>
      <c r="F13" s="198">
        <f t="shared" si="0"/>
        <v>0</v>
      </c>
    </row>
    <row r="14" spans="1:6" ht="12.75">
      <c r="A14" s="197" t="s">
        <v>357</v>
      </c>
      <c r="B14" s="88" t="s">
        <v>398</v>
      </c>
      <c r="C14" s="91" t="s">
        <v>332</v>
      </c>
      <c r="D14" s="5">
        <v>103421</v>
      </c>
      <c r="E14" s="5">
        <v>103421</v>
      </c>
      <c r="F14" s="198">
        <f t="shared" si="0"/>
        <v>0</v>
      </c>
    </row>
    <row r="15" spans="1:6" ht="12.75">
      <c r="A15" s="197" t="s">
        <v>359</v>
      </c>
      <c r="B15" s="88" t="s">
        <v>399</v>
      </c>
      <c r="C15" s="91" t="s">
        <v>332</v>
      </c>
      <c r="D15" s="5">
        <v>59810</v>
      </c>
      <c r="E15" s="5">
        <v>50992</v>
      </c>
      <c r="F15" s="198">
        <f t="shared" si="0"/>
        <v>8818</v>
      </c>
    </row>
    <row r="16" spans="1:6" ht="12.75">
      <c r="A16" s="197" t="s">
        <v>361</v>
      </c>
      <c r="B16" s="88" t="s">
        <v>400</v>
      </c>
      <c r="C16" s="91" t="s">
        <v>393</v>
      </c>
      <c r="D16" s="5">
        <v>203700</v>
      </c>
      <c r="E16" s="5">
        <v>70067</v>
      </c>
      <c r="F16" s="198">
        <f t="shared" si="0"/>
        <v>133633</v>
      </c>
    </row>
    <row r="17" spans="1:6" ht="12.75">
      <c r="A17" s="197" t="s">
        <v>363</v>
      </c>
      <c r="B17" s="88" t="s">
        <v>401</v>
      </c>
      <c r="C17" s="91" t="s">
        <v>332</v>
      </c>
      <c r="D17" s="5">
        <v>160277</v>
      </c>
      <c r="E17" s="5">
        <v>160277</v>
      </c>
      <c r="F17" s="198">
        <f t="shared" si="0"/>
        <v>0</v>
      </c>
    </row>
    <row r="18" spans="1:6" ht="12.75">
      <c r="A18" s="197" t="s">
        <v>365</v>
      </c>
      <c r="B18" s="88" t="s">
        <v>402</v>
      </c>
      <c r="C18" s="91" t="s">
        <v>332</v>
      </c>
      <c r="D18" s="5">
        <v>98215</v>
      </c>
      <c r="E18" s="5">
        <v>98215</v>
      </c>
      <c r="F18" s="198">
        <f t="shared" si="0"/>
        <v>0</v>
      </c>
    </row>
    <row r="19" spans="1:6" ht="12.75">
      <c r="A19" s="197" t="s">
        <v>367</v>
      </c>
      <c r="B19" s="88" t="s">
        <v>403</v>
      </c>
      <c r="C19" s="91" t="s">
        <v>332</v>
      </c>
      <c r="D19" s="5">
        <v>460000</v>
      </c>
      <c r="E19" s="5">
        <v>460000</v>
      </c>
      <c r="F19" s="198">
        <f t="shared" si="0"/>
        <v>0</v>
      </c>
    </row>
    <row r="20" spans="1:6" ht="12.75">
      <c r="A20" s="197" t="s">
        <v>369</v>
      </c>
      <c r="B20" s="88" t="s">
        <v>404</v>
      </c>
      <c r="C20" s="91" t="s">
        <v>405</v>
      </c>
      <c r="D20" s="5">
        <v>289000</v>
      </c>
      <c r="E20" s="5">
        <v>289000</v>
      </c>
      <c r="F20" s="198">
        <f t="shared" si="0"/>
        <v>0</v>
      </c>
    </row>
    <row r="21" spans="1:6" ht="12.75">
      <c r="A21" s="197" t="s">
        <v>371</v>
      </c>
      <c r="B21" s="88" t="s">
        <v>406</v>
      </c>
      <c r="C21" s="91" t="s">
        <v>393</v>
      </c>
      <c r="D21" s="5">
        <v>241875</v>
      </c>
      <c r="E21" s="5">
        <v>241875</v>
      </c>
      <c r="F21" s="198">
        <f t="shared" si="0"/>
        <v>0</v>
      </c>
    </row>
    <row r="22" spans="1:6" ht="12.75">
      <c r="A22" s="197" t="s">
        <v>373</v>
      </c>
      <c r="B22" s="88" t="s">
        <v>407</v>
      </c>
      <c r="C22" s="91" t="s">
        <v>332</v>
      </c>
      <c r="D22" s="5">
        <v>37465</v>
      </c>
      <c r="E22" s="5">
        <v>37465</v>
      </c>
      <c r="F22" s="198">
        <f t="shared" si="0"/>
        <v>0</v>
      </c>
    </row>
    <row r="23" spans="1:6" ht="12.75">
      <c r="A23" s="197" t="s">
        <v>376</v>
      </c>
      <c r="B23" s="88" t="s">
        <v>408</v>
      </c>
      <c r="C23" s="91" t="s">
        <v>332</v>
      </c>
      <c r="D23" s="5">
        <v>225600</v>
      </c>
      <c r="E23" s="5">
        <v>225600</v>
      </c>
      <c r="F23" s="198">
        <f t="shared" si="0"/>
        <v>0</v>
      </c>
    </row>
    <row r="24" spans="1:6" ht="12.75">
      <c r="A24" s="197" t="s">
        <v>378</v>
      </c>
      <c r="B24" s="88" t="s">
        <v>408</v>
      </c>
      <c r="C24" s="91" t="s">
        <v>332</v>
      </c>
      <c r="D24" s="5">
        <v>244800</v>
      </c>
      <c r="E24" s="5">
        <v>244800</v>
      </c>
      <c r="F24" s="198">
        <f t="shared" si="0"/>
        <v>0</v>
      </c>
    </row>
    <row r="25" spans="1:6" ht="12.75">
      <c r="A25" s="197" t="s">
        <v>380</v>
      </c>
      <c r="B25" s="88" t="s">
        <v>409</v>
      </c>
      <c r="C25" s="91" t="s">
        <v>332</v>
      </c>
      <c r="D25" s="5">
        <v>19200</v>
      </c>
      <c r="E25" s="5">
        <v>19200</v>
      </c>
      <c r="F25" s="198">
        <f t="shared" si="0"/>
        <v>0</v>
      </c>
    </row>
    <row r="26" spans="1:6" ht="12.75">
      <c r="A26" s="197" t="s">
        <v>382</v>
      </c>
      <c r="B26" s="88" t="s">
        <v>410</v>
      </c>
      <c r="C26" s="91" t="s">
        <v>332</v>
      </c>
      <c r="D26" s="5">
        <v>600000</v>
      </c>
      <c r="E26" s="5">
        <v>600000</v>
      </c>
      <c r="F26" s="198">
        <f t="shared" si="0"/>
        <v>0</v>
      </c>
    </row>
    <row r="27" spans="1:6" ht="12.75">
      <c r="A27" s="197" t="s">
        <v>384</v>
      </c>
      <c r="B27" s="88" t="s">
        <v>411</v>
      </c>
      <c r="C27" s="91" t="s">
        <v>332</v>
      </c>
      <c r="D27" s="5">
        <v>230000</v>
      </c>
      <c r="E27" s="5">
        <v>133491</v>
      </c>
      <c r="F27" s="198">
        <f t="shared" si="0"/>
        <v>96509</v>
      </c>
    </row>
    <row r="28" spans="1:6" ht="12.75">
      <c r="A28" s="197" t="s">
        <v>386</v>
      </c>
      <c r="B28" s="88" t="s">
        <v>412</v>
      </c>
      <c r="C28" s="91" t="s">
        <v>332</v>
      </c>
      <c r="D28" s="5">
        <v>63992</v>
      </c>
      <c r="E28" s="5">
        <v>36886</v>
      </c>
      <c r="F28" s="198">
        <f t="shared" si="0"/>
        <v>27106</v>
      </c>
    </row>
    <row r="29" spans="1:6" ht="12.75">
      <c r="A29" s="197" t="s">
        <v>388</v>
      </c>
      <c r="B29" s="88" t="s">
        <v>413</v>
      </c>
      <c r="C29" s="91" t="s">
        <v>332</v>
      </c>
      <c r="D29" s="5">
        <v>250000</v>
      </c>
      <c r="E29" s="5">
        <v>163273</v>
      </c>
      <c r="F29" s="198">
        <f t="shared" si="0"/>
        <v>86727</v>
      </c>
    </row>
    <row r="30" spans="1:6" ht="12.75">
      <c r="A30" s="197" t="s">
        <v>414</v>
      </c>
      <c r="B30" s="88" t="s">
        <v>415</v>
      </c>
      <c r="C30" s="91" t="s">
        <v>332</v>
      </c>
      <c r="D30" s="5">
        <v>348000</v>
      </c>
      <c r="E30" s="5">
        <v>75758</v>
      </c>
      <c r="F30" s="198">
        <f t="shared" si="0"/>
        <v>272242</v>
      </c>
    </row>
    <row r="31" spans="1:6" ht="12.75">
      <c r="A31" s="197" t="s">
        <v>416</v>
      </c>
      <c r="B31" s="88" t="s">
        <v>417</v>
      </c>
      <c r="C31" s="91" t="s">
        <v>418</v>
      </c>
      <c r="D31" s="5">
        <v>2934624</v>
      </c>
      <c r="E31" s="5">
        <v>1914255</v>
      </c>
      <c r="F31" s="198">
        <f t="shared" si="0"/>
        <v>1020369</v>
      </c>
    </row>
    <row r="32" spans="1:6" ht="12.75">
      <c r="A32" s="197" t="s">
        <v>419</v>
      </c>
      <c r="B32" s="88" t="s">
        <v>420</v>
      </c>
      <c r="C32" s="91" t="s">
        <v>421</v>
      </c>
      <c r="D32" s="5">
        <v>403200</v>
      </c>
      <c r="E32" s="5">
        <v>263008</v>
      </c>
      <c r="F32" s="198">
        <f t="shared" si="0"/>
        <v>140192</v>
      </c>
    </row>
    <row r="33" spans="1:6" ht="12.75">
      <c r="A33" s="197" t="s">
        <v>422</v>
      </c>
      <c r="B33" s="88" t="s">
        <v>423</v>
      </c>
      <c r="C33" s="91" t="s">
        <v>424</v>
      </c>
      <c r="D33" s="5">
        <v>654360</v>
      </c>
      <c r="E33" s="5">
        <v>426845</v>
      </c>
      <c r="F33" s="198">
        <f t="shared" si="0"/>
        <v>227515</v>
      </c>
    </row>
    <row r="34" spans="1:6" ht="12.75">
      <c r="A34" s="197" t="s">
        <v>425</v>
      </c>
      <c r="B34" s="88" t="s">
        <v>426</v>
      </c>
      <c r="C34" s="91" t="s">
        <v>427</v>
      </c>
      <c r="D34" s="5">
        <v>285994</v>
      </c>
      <c r="E34" s="5">
        <v>186553</v>
      </c>
      <c r="F34" s="198">
        <f t="shared" si="0"/>
        <v>99441</v>
      </c>
    </row>
    <row r="35" spans="1:6" ht="12.75">
      <c r="A35" s="197" t="s">
        <v>428</v>
      </c>
      <c r="B35" s="88" t="s">
        <v>429</v>
      </c>
      <c r="C35" s="91" t="s">
        <v>337</v>
      </c>
      <c r="D35" s="5">
        <v>198360</v>
      </c>
      <c r="E35" s="5">
        <v>89716</v>
      </c>
      <c r="F35" s="198">
        <f t="shared" si="0"/>
        <v>108644</v>
      </c>
    </row>
    <row r="36" spans="1:6" ht="12.75">
      <c r="A36" s="197" t="s">
        <v>430</v>
      </c>
      <c r="B36" s="88" t="s">
        <v>431</v>
      </c>
      <c r="C36" s="91" t="s">
        <v>332</v>
      </c>
      <c r="D36" s="5">
        <v>1982420</v>
      </c>
      <c r="E36" s="5">
        <v>647354</v>
      </c>
      <c r="F36" s="198">
        <f t="shared" si="0"/>
        <v>1335066</v>
      </c>
    </row>
    <row r="37" spans="1:6" ht="12.75">
      <c r="A37" s="197" t="s">
        <v>432</v>
      </c>
      <c r="B37" s="88" t="s">
        <v>389</v>
      </c>
      <c r="C37" s="91" t="s">
        <v>332</v>
      </c>
      <c r="D37" s="5">
        <v>221110</v>
      </c>
      <c r="E37" s="5">
        <v>221110</v>
      </c>
      <c r="F37" s="198">
        <f t="shared" si="0"/>
        <v>0</v>
      </c>
    </row>
    <row r="38" spans="1:6" ht="12.75">
      <c r="A38" s="197" t="s">
        <v>433</v>
      </c>
      <c r="B38" s="88" t="s">
        <v>434</v>
      </c>
      <c r="C38" s="91" t="s">
        <v>332</v>
      </c>
      <c r="D38" s="5">
        <v>3333000</v>
      </c>
      <c r="E38" s="5">
        <v>3175449</v>
      </c>
      <c r="F38" s="198">
        <f t="shared" si="0"/>
        <v>157551</v>
      </c>
    </row>
    <row r="39" spans="1:6" ht="12.75">
      <c r="A39" s="197" t="s">
        <v>435</v>
      </c>
      <c r="B39" s="88" t="s">
        <v>436</v>
      </c>
      <c r="C39" s="91" t="s">
        <v>332</v>
      </c>
      <c r="D39" s="5">
        <v>10122070</v>
      </c>
      <c r="E39" s="5">
        <v>8968431</v>
      </c>
      <c r="F39" s="198">
        <f t="shared" si="0"/>
        <v>1153639</v>
      </c>
    </row>
    <row r="40" spans="1:6" ht="12.75">
      <c r="A40" s="199"/>
      <c r="B40" s="189" t="s">
        <v>324</v>
      </c>
      <c r="C40" s="190"/>
      <c r="D40" s="11">
        <f>SUM(D2:D39)</f>
        <v>26933673</v>
      </c>
      <c r="E40" s="11">
        <f>SUM(E2:E39)</f>
        <v>21716182</v>
      </c>
      <c r="F40" s="200">
        <f t="shared" si="0"/>
        <v>5217491</v>
      </c>
    </row>
  </sheetData>
  <sheetProtection/>
  <printOptions horizontalCentered="1"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dőlt"Kimutatás a Polgár Város Önkormányzatának
 feladat ellátáshoz kapcsolódóan átadott befektetett eszközökről&amp;"Arial,Normál"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1" sqref="B11"/>
    </sheetView>
  </sheetViews>
  <sheetFormatPr defaultColWidth="12.7109375" defaultRowHeight="12.75"/>
  <cols>
    <col min="1" max="1" width="5.140625" style="98" customWidth="1"/>
    <col min="2" max="2" width="32.710937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93" t="s">
        <v>330</v>
      </c>
      <c r="B2" s="194" t="s">
        <v>347</v>
      </c>
      <c r="C2" s="181"/>
      <c r="D2" s="195">
        <v>3415998</v>
      </c>
      <c r="E2" s="195">
        <v>682825</v>
      </c>
      <c r="F2" s="196">
        <f aca="true" t="shared" si="0" ref="F2:F10">D2-E2</f>
        <v>2733173</v>
      </c>
    </row>
    <row r="3" spans="1:6" ht="12.75">
      <c r="A3" s="197" t="s">
        <v>333</v>
      </c>
      <c r="B3" s="88" t="s">
        <v>437</v>
      </c>
      <c r="C3" s="91" t="s">
        <v>332</v>
      </c>
      <c r="D3" s="5">
        <v>180000</v>
      </c>
      <c r="E3" s="5">
        <v>74899</v>
      </c>
      <c r="F3" s="198">
        <f t="shared" si="0"/>
        <v>105101</v>
      </c>
    </row>
    <row r="4" spans="1:6" ht="12.75">
      <c r="A4" s="197" t="s">
        <v>335</v>
      </c>
      <c r="B4" s="88" t="s">
        <v>354</v>
      </c>
      <c r="C4" s="91"/>
      <c r="D4" s="5"/>
      <c r="E4" s="5"/>
      <c r="F4" s="198">
        <f t="shared" si="0"/>
        <v>0</v>
      </c>
    </row>
    <row r="5" spans="1:6" ht="12.75">
      <c r="A5" s="197"/>
      <c r="B5" s="88" t="s">
        <v>356</v>
      </c>
      <c r="C5" s="91" t="s">
        <v>332</v>
      </c>
      <c r="D5" s="5">
        <v>280000</v>
      </c>
      <c r="E5" s="5">
        <v>280000</v>
      </c>
      <c r="F5" s="198">
        <f t="shared" si="0"/>
        <v>0</v>
      </c>
    </row>
    <row r="6" spans="1:6" ht="12.75">
      <c r="A6" s="197"/>
      <c r="B6" s="88" t="s">
        <v>358</v>
      </c>
      <c r="C6" s="91" t="s">
        <v>332</v>
      </c>
      <c r="D6" s="5">
        <v>12500</v>
      </c>
      <c r="E6" s="5">
        <v>12500</v>
      </c>
      <c r="F6" s="198">
        <f t="shared" si="0"/>
        <v>0</v>
      </c>
    </row>
    <row r="7" spans="1:6" ht="12.75">
      <c r="A7" s="197"/>
      <c r="B7" s="88" t="s">
        <v>362</v>
      </c>
      <c r="C7" s="91" t="s">
        <v>332</v>
      </c>
      <c r="D7" s="5">
        <v>16000</v>
      </c>
      <c r="E7" s="5">
        <v>16000</v>
      </c>
      <c r="F7" s="198">
        <f t="shared" si="0"/>
        <v>0</v>
      </c>
    </row>
    <row r="8" spans="1:6" ht="12.75">
      <c r="A8" s="197"/>
      <c r="B8" s="88" t="s">
        <v>390</v>
      </c>
      <c r="C8" s="91" t="s">
        <v>332</v>
      </c>
      <c r="D8" s="5">
        <v>59900</v>
      </c>
      <c r="E8" s="5">
        <v>59900</v>
      </c>
      <c r="F8" s="198">
        <f t="shared" si="0"/>
        <v>0</v>
      </c>
    </row>
    <row r="9" spans="1:6" ht="12.75">
      <c r="A9" s="197" t="s">
        <v>338</v>
      </c>
      <c r="B9" s="88" t="s">
        <v>438</v>
      </c>
      <c r="C9" s="91" t="s">
        <v>332</v>
      </c>
      <c r="D9" s="5">
        <v>666000</v>
      </c>
      <c r="E9" s="5">
        <v>666000</v>
      </c>
      <c r="F9" s="198">
        <f t="shared" si="0"/>
        <v>0</v>
      </c>
    </row>
    <row r="10" spans="1:6" ht="12.75">
      <c r="A10" s="197" t="s">
        <v>340</v>
      </c>
      <c r="B10" s="88" t="s">
        <v>439</v>
      </c>
      <c r="C10" s="91" t="s">
        <v>332</v>
      </c>
      <c r="D10" s="5">
        <v>472000</v>
      </c>
      <c r="E10" s="5">
        <v>152069</v>
      </c>
      <c r="F10" s="198">
        <f t="shared" si="0"/>
        <v>319931</v>
      </c>
    </row>
    <row r="11" spans="1:6" ht="12.75">
      <c r="A11" s="199"/>
      <c r="B11" s="189" t="s">
        <v>324</v>
      </c>
      <c r="C11" s="190"/>
      <c r="D11" s="11"/>
      <c r="E11" s="11"/>
      <c r="F11" s="200">
        <f>SUM(F2:F10)</f>
        <v>3158205</v>
      </c>
    </row>
  </sheetData>
  <sheetProtection/>
  <printOptions horizontalCentered="1"/>
  <pageMargins left="0.7874015748031497" right="0.7874015748031497" top="1.4960629921259843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dőlt"Kimutatás Tiszagyulaháza Község Önkormányzatának átadott befektetett eszközökről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18" sqref="F18"/>
    </sheetView>
  </sheetViews>
  <sheetFormatPr defaultColWidth="12.7109375" defaultRowHeight="12.75"/>
  <cols>
    <col min="1" max="1" width="5.140625" style="98" customWidth="1"/>
    <col min="2" max="2" width="32.710937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201" t="s">
        <v>330</v>
      </c>
      <c r="B2" s="202" t="s">
        <v>440</v>
      </c>
      <c r="C2" s="203" t="s">
        <v>332</v>
      </c>
      <c r="D2" s="65">
        <v>36217105</v>
      </c>
      <c r="E2" s="65">
        <v>36217105</v>
      </c>
      <c r="F2" s="66">
        <f>D2-E2</f>
        <v>0</v>
      </c>
    </row>
  </sheetData>
  <sheetProtection/>
  <printOptions horizontalCentered="1"/>
  <pageMargins left="0.7874015748031497" right="0.7874015748031497" top="1.4173228346456694" bottom="0.984251968503937" header="0.8267716535433072" footer="0.5118110236220472"/>
  <pageSetup horizontalDpi="600" verticalDpi="600" orientation="portrait" paperSize="9" r:id="rId1"/>
  <headerFooter alignWithMargins="0">
    <oddHeader>&amp;C&amp;"Times New Roman,Félkövér dőlt"Kimutatás az Újszentmargita Község Önkormányzatának átadott befektetett eszközökről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:IV9"/>
    </sheetView>
  </sheetViews>
  <sheetFormatPr defaultColWidth="12.7109375" defaultRowHeight="12.75"/>
  <cols>
    <col min="1" max="1" width="5.140625" style="98" customWidth="1"/>
    <col min="2" max="2" width="32.7109375" style="1" bestFit="1" customWidth="1"/>
    <col min="3" max="3" width="9.28125" style="98" bestFit="1" customWidth="1"/>
    <col min="4" max="6" width="12.7109375" style="2" customWidth="1"/>
    <col min="7" max="16384" width="12.7109375" style="1" customWidth="1"/>
  </cols>
  <sheetData>
    <row r="1" spans="1:6" ht="33" customHeight="1" thickBot="1">
      <c r="A1" s="174" t="s">
        <v>325</v>
      </c>
      <c r="B1" s="175" t="s">
        <v>0</v>
      </c>
      <c r="C1" s="175" t="s">
        <v>326</v>
      </c>
      <c r="D1" s="176" t="s">
        <v>327</v>
      </c>
      <c r="E1" s="177" t="s">
        <v>328</v>
      </c>
      <c r="F1" s="178" t="s">
        <v>329</v>
      </c>
    </row>
    <row r="2" spans="1:6" ht="13.5" thickTop="1">
      <c r="A2" s="193" t="s">
        <v>330</v>
      </c>
      <c r="B2" s="194" t="s">
        <v>347</v>
      </c>
      <c r="C2" s="181"/>
      <c r="D2" s="195">
        <v>3731955</v>
      </c>
      <c r="E2" s="195">
        <v>745982</v>
      </c>
      <c r="F2" s="196">
        <f aca="true" t="shared" si="0" ref="F2:F8">D2-E2</f>
        <v>2985973</v>
      </c>
    </row>
    <row r="3" spans="1:6" ht="12.75">
      <c r="A3" s="197" t="s">
        <v>333</v>
      </c>
      <c r="B3" s="88" t="s">
        <v>354</v>
      </c>
      <c r="C3" s="91"/>
      <c r="D3" s="5"/>
      <c r="E3" s="5"/>
      <c r="F3" s="198">
        <f t="shared" si="0"/>
        <v>0</v>
      </c>
    </row>
    <row r="4" spans="1:6" ht="12.75">
      <c r="A4" s="197"/>
      <c r="B4" s="88" t="s">
        <v>356</v>
      </c>
      <c r="C4" s="91" t="s">
        <v>332</v>
      </c>
      <c r="D4" s="5">
        <v>280000</v>
      </c>
      <c r="E4" s="5">
        <v>280000</v>
      </c>
      <c r="F4" s="198">
        <f t="shared" si="0"/>
        <v>0</v>
      </c>
    </row>
    <row r="5" spans="1:6" ht="12.75">
      <c r="A5" s="197"/>
      <c r="B5" s="88" t="s">
        <v>358</v>
      </c>
      <c r="C5" s="91" t="s">
        <v>332</v>
      </c>
      <c r="D5" s="5">
        <v>12500</v>
      </c>
      <c r="E5" s="5">
        <v>12500</v>
      </c>
      <c r="F5" s="198">
        <f t="shared" si="0"/>
        <v>0</v>
      </c>
    </row>
    <row r="6" spans="1:6" ht="12.75">
      <c r="A6" s="197"/>
      <c r="B6" s="88" t="s">
        <v>362</v>
      </c>
      <c r="C6" s="91" t="s">
        <v>332</v>
      </c>
      <c r="D6" s="5">
        <v>16000</v>
      </c>
      <c r="E6" s="5">
        <v>16000</v>
      </c>
      <c r="F6" s="198">
        <f t="shared" si="0"/>
        <v>0</v>
      </c>
    </row>
    <row r="7" spans="1:6" ht="12.75">
      <c r="A7" s="197"/>
      <c r="B7" s="88" t="s">
        <v>390</v>
      </c>
      <c r="C7" s="91" t="s">
        <v>332</v>
      </c>
      <c r="D7" s="5">
        <v>59900</v>
      </c>
      <c r="E7" s="5">
        <v>59900</v>
      </c>
      <c r="F7" s="198">
        <f t="shared" si="0"/>
        <v>0</v>
      </c>
    </row>
    <row r="8" spans="1:6" ht="12.75">
      <c r="A8" s="197" t="s">
        <v>335</v>
      </c>
      <c r="B8" s="88" t="s">
        <v>441</v>
      </c>
      <c r="C8" s="91" t="s">
        <v>332</v>
      </c>
      <c r="D8" s="5">
        <v>11777821</v>
      </c>
      <c r="E8" s="5">
        <v>11777821</v>
      </c>
      <c r="F8" s="198">
        <f t="shared" si="0"/>
        <v>0</v>
      </c>
    </row>
    <row r="9" spans="1:6" ht="12.75">
      <c r="A9" s="199"/>
      <c r="B9" s="189" t="s">
        <v>324</v>
      </c>
      <c r="C9" s="190"/>
      <c r="D9" s="11">
        <f>SUM(D2:D8)</f>
        <v>15878176</v>
      </c>
      <c r="E9" s="11">
        <f>SUM(E2:E8)</f>
        <v>12892203</v>
      </c>
      <c r="F9" s="200">
        <f>SUM(F2:F8)</f>
        <v>2985973</v>
      </c>
    </row>
  </sheetData>
  <sheetProtection/>
  <printOptions horizontalCentered="1"/>
  <pageMargins left="0.7874015748031497" right="0.7874015748031497" top="1.92" bottom="0.984251968503937" header="0.92" footer="0.5118110236220472"/>
  <pageSetup horizontalDpi="600" verticalDpi="600" orientation="portrait" paperSize="9" r:id="rId1"/>
  <headerFooter alignWithMargins="0">
    <oddHeader>&amp;C&amp;"Times New Roman,Félkövér dőlt"Kimutatás Újtikos Község Önkormányzatának átadott befektetett eszközökről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G1">
      <selection activeCell="D14" sqref="D14"/>
    </sheetView>
  </sheetViews>
  <sheetFormatPr defaultColWidth="9.140625" defaultRowHeight="12.75"/>
  <cols>
    <col min="1" max="1" width="30.7109375" style="14" bestFit="1" customWidth="1"/>
    <col min="2" max="2" width="9.57421875" style="15" bestFit="1" customWidth="1"/>
    <col min="3" max="3" width="9.28125" style="15" bestFit="1" customWidth="1"/>
    <col min="4" max="4" width="8.8515625" style="15" bestFit="1" customWidth="1"/>
    <col min="5" max="5" width="8.421875" style="15" bestFit="1" customWidth="1"/>
    <col min="6" max="6" width="9.57421875" style="15" bestFit="1" customWidth="1"/>
    <col min="7" max="7" width="9.28125" style="15" bestFit="1" customWidth="1"/>
    <col min="8" max="8" width="10.140625" style="15" bestFit="1" customWidth="1"/>
    <col min="9" max="10" width="9.28125" style="15" bestFit="1" customWidth="1"/>
    <col min="11" max="11" width="8.421875" style="15" bestFit="1" customWidth="1"/>
    <col min="12" max="12" width="10.140625" style="15" bestFit="1" customWidth="1"/>
    <col min="13" max="13" width="9.28125" style="15" bestFit="1" customWidth="1"/>
    <col min="14" max="18" width="11.7109375" style="15" customWidth="1"/>
    <col min="19" max="19" width="10.140625" style="14" bestFit="1" customWidth="1"/>
    <col min="20" max="16384" width="9.140625" style="14" customWidth="1"/>
  </cols>
  <sheetData>
    <row r="1" spans="16:18" ht="11.25">
      <c r="P1" s="12" t="s">
        <v>27</v>
      </c>
      <c r="Q1" s="12"/>
      <c r="R1" s="12"/>
    </row>
    <row r="2" spans="1:19" ht="11.25">
      <c r="A2" s="217" t="s">
        <v>0</v>
      </c>
      <c r="B2" s="218" t="s">
        <v>199</v>
      </c>
      <c r="C2" s="218"/>
      <c r="D2" s="219"/>
      <c r="E2" s="219"/>
      <c r="F2" s="219"/>
      <c r="G2" s="124"/>
      <c r="H2" s="218" t="s">
        <v>3</v>
      </c>
      <c r="I2" s="218"/>
      <c r="J2" s="219"/>
      <c r="K2" s="219"/>
      <c r="L2" s="219"/>
      <c r="M2" s="102"/>
      <c r="N2" s="215" t="s">
        <v>1</v>
      </c>
      <c r="O2" s="215"/>
      <c r="P2" s="216"/>
      <c r="Q2" s="216"/>
      <c r="R2" s="216"/>
      <c r="S2" s="104"/>
    </row>
    <row r="3" spans="1:19" ht="11.25">
      <c r="A3" s="217"/>
      <c r="B3" s="211" t="s">
        <v>235</v>
      </c>
      <c r="C3" s="212"/>
      <c r="D3" s="211" t="s">
        <v>236</v>
      </c>
      <c r="E3" s="212"/>
      <c r="F3" s="213" t="s">
        <v>1</v>
      </c>
      <c r="G3" s="220"/>
      <c r="H3" s="211" t="s">
        <v>235</v>
      </c>
      <c r="I3" s="212"/>
      <c r="J3" s="211" t="s">
        <v>236</v>
      </c>
      <c r="K3" s="212"/>
      <c r="L3" s="213" t="s">
        <v>1</v>
      </c>
      <c r="M3" s="214"/>
      <c r="N3" s="211" t="s">
        <v>235</v>
      </c>
      <c r="O3" s="212"/>
      <c r="P3" s="211" t="s">
        <v>236</v>
      </c>
      <c r="Q3" s="212"/>
      <c r="R3" s="213" t="s">
        <v>1</v>
      </c>
      <c r="S3" s="214"/>
    </row>
    <row r="4" spans="1:19" ht="15" customHeight="1">
      <c r="A4" s="123"/>
      <c r="B4" s="107" t="s">
        <v>266</v>
      </c>
      <c r="C4" s="107" t="s">
        <v>246</v>
      </c>
      <c r="D4" s="107" t="s">
        <v>266</v>
      </c>
      <c r="E4" s="107" t="s">
        <v>246</v>
      </c>
      <c r="F4" s="107" t="s">
        <v>266</v>
      </c>
      <c r="G4" s="105" t="s">
        <v>246</v>
      </c>
      <c r="H4" s="107" t="s">
        <v>266</v>
      </c>
      <c r="I4" s="105" t="s">
        <v>246</v>
      </c>
      <c r="J4" s="107" t="s">
        <v>266</v>
      </c>
      <c r="K4" s="105" t="s">
        <v>246</v>
      </c>
      <c r="L4" s="107" t="s">
        <v>266</v>
      </c>
      <c r="M4" s="105" t="s">
        <v>246</v>
      </c>
      <c r="N4" s="107" t="s">
        <v>266</v>
      </c>
      <c r="O4" s="105" t="s">
        <v>246</v>
      </c>
      <c r="P4" s="107" t="s">
        <v>266</v>
      </c>
      <c r="Q4" s="105" t="s">
        <v>246</v>
      </c>
      <c r="R4" s="107" t="s">
        <v>266</v>
      </c>
      <c r="S4" s="107" t="s">
        <v>246</v>
      </c>
    </row>
    <row r="5" spans="1:19" ht="11.25">
      <c r="A5" s="123" t="s">
        <v>18</v>
      </c>
      <c r="B5" s="101"/>
      <c r="C5" s="101"/>
      <c r="D5" s="101"/>
      <c r="E5" s="101"/>
      <c r="F5" s="101"/>
      <c r="G5" s="106"/>
      <c r="H5" s="101"/>
      <c r="I5" s="101"/>
      <c r="J5" s="101"/>
      <c r="K5" s="101"/>
      <c r="L5" s="101"/>
      <c r="M5" s="101"/>
      <c r="N5" s="101"/>
      <c r="O5" s="101"/>
      <c r="P5" s="107"/>
      <c r="Q5" s="107"/>
      <c r="R5" s="101"/>
      <c r="S5" s="104"/>
    </row>
    <row r="6" spans="1:19" ht="11.25">
      <c r="A6" s="104" t="s">
        <v>4</v>
      </c>
      <c r="B6" s="108"/>
      <c r="C6" s="108"/>
      <c r="D6" s="108"/>
      <c r="E6" s="108"/>
      <c r="F6" s="108"/>
      <c r="G6" s="10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4"/>
    </row>
    <row r="7" spans="1:19" ht="11.25">
      <c r="A7" s="104" t="s">
        <v>107</v>
      </c>
      <c r="B7" s="108">
        <v>885</v>
      </c>
      <c r="C7" s="108">
        <v>1159</v>
      </c>
      <c r="D7" s="108"/>
      <c r="E7" s="108"/>
      <c r="F7" s="108">
        <f aca="true" t="shared" si="0" ref="F7:G9">B7+D7</f>
        <v>885</v>
      </c>
      <c r="G7" s="109">
        <f t="shared" si="0"/>
        <v>1159</v>
      </c>
      <c r="H7" s="108">
        <v>58149</v>
      </c>
      <c r="I7" s="108">
        <v>26880</v>
      </c>
      <c r="J7" s="108">
        <v>5898</v>
      </c>
      <c r="K7" s="108">
        <v>2750</v>
      </c>
      <c r="L7" s="108">
        <f aca="true" t="shared" si="1" ref="L7:M9">H7+J7</f>
        <v>64047</v>
      </c>
      <c r="M7" s="108">
        <f>I7+K7</f>
        <v>29630</v>
      </c>
      <c r="N7" s="108">
        <f aca="true" t="shared" si="2" ref="N7:S9">B7+H7</f>
        <v>59034</v>
      </c>
      <c r="O7" s="108">
        <f t="shared" si="2"/>
        <v>28039</v>
      </c>
      <c r="P7" s="108">
        <f t="shared" si="2"/>
        <v>5898</v>
      </c>
      <c r="Q7" s="108">
        <f t="shared" si="2"/>
        <v>2750</v>
      </c>
      <c r="R7" s="108">
        <f t="shared" si="2"/>
        <v>64932</v>
      </c>
      <c r="S7" s="108">
        <f t="shared" si="2"/>
        <v>30789</v>
      </c>
    </row>
    <row r="8" spans="1:19" ht="11.25">
      <c r="A8" s="104" t="s">
        <v>5</v>
      </c>
      <c r="B8" s="108">
        <v>1585</v>
      </c>
      <c r="C8" s="108">
        <v>1627</v>
      </c>
      <c r="D8" s="108"/>
      <c r="E8" s="108"/>
      <c r="F8" s="108">
        <f t="shared" si="0"/>
        <v>1585</v>
      </c>
      <c r="G8" s="109">
        <f t="shared" si="0"/>
        <v>1627</v>
      </c>
      <c r="H8" s="108">
        <v>4746</v>
      </c>
      <c r="I8" s="108">
        <v>3134</v>
      </c>
      <c r="J8" s="108">
        <v>384</v>
      </c>
      <c r="K8" s="108">
        <v>287</v>
      </c>
      <c r="L8" s="108">
        <f t="shared" si="1"/>
        <v>5130</v>
      </c>
      <c r="M8" s="108">
        <f t="shared" si="1"/>
        <v>3421</v>
      </c>
      <c r="N8" s="108">
        <f t="shared" si="2"/>
        <v>6331</v>
      </c>
      <c r="O8" s="108">
        <f t="shared" si="2"/>
        <v>4761</v>
      </c>
      <c r="P8" s="108">
        <f t="shared" si="2"/>
        <v>384</v>
      </c>
      <c r="Q8" s="108">
        <f t="shared" si="2"/>
        <v>287</v>
      </c>
      <c r="R8" s="108">
        <f t="shared" si="2"/>
        <v>6715</v>
      </c>
      <c r="S8" s="108">
        <f t="shared" si="2"/>
        <v>5048</v>
      </c>
    </row>
    <row r="9" spans="1:19" ht="11.25">
      <c r="A9" s="104" t="s">
        <v>6</v>
      </c>
      <c r="B9" s="108">
        <v>3301</v>
      </c>
      <c r="C9" s="108">
        <v>3159</v>
      </c>
      <c r="D9" s="108"/>
      <c r="E9" s="108"/>
      <c r="F9" s="108">
        <f t="shared" si="0"/>
        <v>3301</v>
      </c>
      <c r="G9" s="109">
        <f t="shared" si="0"/>
        <v>3159</v>
      </c>
      <c r="H9" s="108">
        <v>1440</v>
      </c>
      <c r="I9" s="108">
        <v>389</v>
      </c>
      <c r="J9" s="108">
        <v>1325</v>
      </c>
      <c r="K9" s="108">
        <v>546</v>
      </c>
      <c r="L9" s="108">
        <f t="shared" si="1"/>
        <v>2765</v>
      </c>
      <c r="M9" s="108">
        <f t="shared" si="1"/>
        <v>935</v>
      </c>
      <c r="N9" s="108">
        <f t="shared" si="2"/>
        <v>4741</v>
      </c>
      <c r="O9" s="108">
        <f t="shared" si="2"/>
        <v>3548</v>
      </c>
      <c r="P9" s="108">
        <f t="shared" si="2"/>
        <v>1325</v>
      </c>
      <c r="Q9" s="108">
        <f t="shared" si="2"/>
        <v>546</v>
      </c>
      <c r="R9" s="108">
        <f t="shared" si="2"/>
        <v>6066</v>
      </c>
      <c r="S9" s="108">
        <f t="shared" si="2"/>
        <v>4094</v>
      </c>
    </row>
    <row r="10" spans="1:19" ht="11.25">
      <c r="A10" s="104" t="s">
        <v>7</v>
      </c>
      <c r="B10" s="108">
        <f aca="true" t="shared" si="3" ref="B10:G10">SUM(B7:B9)</f>
        <v>5771</v>
      </c>
      <c r="C10" s="108">
        <f t="shared" si="3"/>
        <v>5945</v>
      </c>
      <c r="D10" s="108">
        <f t="shared" si="3"/>
        <v>0</v>
      </c>
      <c r="E10" s="108">
        <f t="shared" si="3"/>
        <v>0</v>
      </c>
      <c r="F10" s="108">
        <f t="shared" si="3"/>
        <v>5771</v>
      </c>
      <c r="G10" s="109">
        <f t="shared" si="3"/>
        <v>5945</v>
      </c>
      <c r="H10" s="109">
        <f aca="true" t="shared" si="4" ref="H10:S10">SUM(H7:H9)</f>
        <v>64335</v>
      </c>
      <c r="I10" s="109">
        <f t="shared" si="4"/>
        <v>30403</v>
      </c>
      <c r="J10" s="109">
        <f t="shared" si="4"/>
        <v>7607</v>
      </c>
      <c r="K10" s="109">
        <f t="shared" si="4"/>
        <v>3583</v>
      </c>
      <c r="L10" s="109">
        <f t="shared" si="4"/>
        <v>71942</v>
      </c>
      <c r="M10" s="109">
        <f t="shared" si="4"/>
        <v>33986</v>
      </c>
      <c r="N10" s="109">
        <f t="shared" si="4"/>
        <v>70106</v>
      </c>
      <c r="O10" s="109">
        <f t="shared" si="4"/>
        <v>36348</v>
      </c>
      <c r="P10" s="109">
        <f t="shared" si="4"/>
        <v>7607</v>
      </c>
      <c r="Q10" s="109">
        <f t="shared" si="4"/>
        <v>3583</v>
      </c>
      <c r="R10" s="109">
        <f t="shared" si="4"/>
        <v>77713</v>
      </c>
      <c r="S10" s="108">
        <f t="shared" si="4"/>
        <v>39931</v>
      </c>
    </row>
    <row r="11" spans="1:19" ht="11.25">
      <c r="A11" s="104" t="s">
        <v>8</v>
      </c>
      <c r="B11" s="108">
        <v>1581</v>
      </c>
      <c r="C11" s="108">
        <v>1572</v>
      </c>
      <c r="D11" s="108"/>
      <c r="E11" s="108"/>
      <c r="F11" s="108">
        <f aca="true" t="shared" si="5" ref="F11:G15">B11+D11</f>
        <v>1581</v>
      </c>
      <c r="G11" s="109">
        <f t="shared" si="5"/>
        <v>1572</v>
      </c>
      <c r="H11" s="108">
        <v>16417</v>
      </c>
      <c r="I11" s="108">
        <v>7388</v>
      </c>
      <c r="J11" s="108">
        <v>1656</v>
      </c>
      <c r="K11" s="108">
        <v>809</v>
      </c>
      <c r="L11" s="108">
        <f aca="true" t="shared" si="6" ref="L11:M15">H11+J11</f>
        <v>18073</v>
      </c>
      <c r="M11" s="108">
        <f t="shared" si="6"/>
        <v>8197</v>
      </c>
      <c r="N11" s="108">
        <f aca="true" t="shared" si="7" ref="N11:S15">B11+H11</f>
        <v>17998</v>
      </c>
      <c r="O11" s="108">
        <f t="shared" si="7"/>
        <v>8960</v>
      </c>
      <c r="P11" s="108">
        <f t="shared" si="7"/>
        <v>1656</v>
      </c>
      <c r="Q11" s="108">
        <f t="shared" si="7"/>
        <v>809</v>
      </c>
      <c r="R11" s="108">
        <f t="shared" si="7"/>
        <v>19654</v>
      </c>
      <c r="S11" s="108">
        <f t="shared" si="7"/>
        <v>9769</v>
      </c>
    </row>
    <row r="12" spans="1:19" ht="11.25">
      <c r="A12" s="104" t="s">
        <v>9</v>
      </c>
      <c r="B12" s="108">
        <v>28113</v>
      </c>
      <c r="C12" s="108">
        <v>20848</v>
      </c>
      <c r="D12" s="108">
        <v>1652</v>
      </c>
      <c r="E12" s="108">
        <v>3467</v>
      </c>
      <c r="F12" s="108">
        <f t="shared" si="5"/>
        <v>29765</v>
      </c>
      <c r="G12" s="109">
        <f t="shared" si="5"/>
        <v>24315</v>
      </c>
      <c r="H12" s="108">
        <v>66058</v>
      </c>
      <c r="I12" s="108">
        <v>32788</v>
      </c>
      <c r="J12" s="108">
        <v>3322</v>
      </c>
      <c r="K12" s="108">
        <v>1971</v>
      </c>
      <c r="L12" s="108">
        <f t="shared" si="6"/>
        <v>69380</v>
      </c>
      <c r="M12" s="108">
        <f t="shared" si="6"/>
        <v>34759</v>
      </c>
      <c r="N12" s="108">
        <f t="shared" si="7"/>
        <v>94171</v>
      </c>
      <c r="O12" s="108">
        <f t="shared" si="7"/>
        <v>53636</v>
      </c>
      <c r="P12" s="108">
        <f t="shared" si="7"/>
        <v>4974</v>
      </c>
      <c r="Q12" s="108">
        <f t="shared" si="7"/>
        <v>5438</v>
      </c>
      <c r="R12" s="108">
        <f t="shared" si="7"/>
        <v>99145</v>
      </c>
      <c r="S12" s="108">
        <f t="shared" si="7"/>
        <v>59074</v>
      </c>
    </row>
    <row r="13" spans="1:19" ht="13.5" customHeight="1">
      <c r="A13" s="104" t="s">
        <v>10</v>
      </c>
      <c r="B13" s="108">
        <v>4884</v>
      </c>
      <c r="C13" s="108">
        <v>140</v>
      </c>
      <c r="D13" s="108">
        <v>60</v>
      </c>
      <c r="E13" s="108">
        <v>141</v>
      </c>
      <c r="F13" s="108">
        <f t="shared" si="5"/>
        <v>4944</v>
      </c>
      <c r="G13" s="109">
        <f t="shared" si="5"/>
        <v>281</v>
      </c>
      <c r="H13" s="108">
        <v>802</v>
      </c>
      <c r="I13" s="108">
        <v>1040</v>
      </c>
      <c r="J13" s="108">
        <v>273</v>
      </c>
      <c r="K13" s="108">
        <v>152</v>
      </c>
      <c r="L13" s="108">
        <f t="shared" si="6"/>
        <v>1075</v>
      </c>
      <c r="M13" s="108">
        <f t="shared" si="6"/>
        <v>1192</v>
      </c>
      <c r="N13" s="108">
        <f t="shared" si="7"/>
        <v>5686</v>
      </c>
      <c r="O13" s="108">
        <f t="shared" si="7"/>
        <v>1180</v>
      </c>
      <c r="P13" s="108">
        <f t="shared" si="7"/>
        <v>333</v>
      </c>
      <c r="Q13" s="108">
        <f t="shared" si="7"/>
        <v>293</v>
      </c>
      <c r="R13" s="108">
        <f t="shared" si="7"/>
        <v>6019</v>
      </c>
      <c r="S13" s="108">
        <f t="shared" si="7"/>
        <v>1473</v>
      </c>
    </row>
    <row r="14" spans="1:19" ht="11.25">
      <c r="A14" s="104" t="s">
        <v>11</v>
      </c>
      <c r="B14" s="108"/>
      <c r="C14" s="108"/>
      <c r="D14" s="108"/>
      <c r="E14" s="108"/>
      <c r="F14" s="108">
        <f t="shared" si="5"/>
        <v>0</v>
      </c>
      <c r="G14" s="109">
        <f t="shared" si="5"/>
        <v>0</v>
      </c>
      <c r="H14" s="108"/>
      <c r="I14" s="108"/>
      <c r="J14" s="108"/>
      <c r="K14" s="108"/>
      <c r="L14" s="108">
        <f t="shared" si="6"/>
        <v>0</v>
      </c>
      <c r="M14" s="108">
        <f t="shared" si="6"/>
        <v>0</v>
      </c>
      <c r="N14" s="108">
        <f t="shared" si="7"/>
        <v>0</v>
      </c>
      <c r="O14" s="108">
        <f t="shared" si="7"/>
        <v>0</v>
      </c>
      <c r="P14" s="108">
        <f t="shared" si="7"/>
        <v>0</v>
      </c>
      <c r="Q14" s="108">
        <f t="shared" si="7"/>
        <v>0</v>
      </c>
      <c r="R14" s="108">
        <f t="shared" si="7"/>
        <v>0</v>
      </c>
      <c r="S14" s="108">
        <f t="shared" si="7"/>
        <v>0</v>
      </c>
    </row>
    <row r="15" spans="1:19" ht="11.25">
      <c r="A15" s="104" t="s">
        <v>12</v>
      </c>
      <c r="B15" s="108">
        <v>6000</v>
      </c>
      <c r="C15" s="108">
        <v>3000</v>
      </c>
      <c r="D15" s="108"/>
      <c r="E15" s="108"/>
      <c r="F15" s="108">
        <f t="shared" si="5"/>
        <v>6000</v>
      </c>
      <c r="G15" s="109">
        <f t="shared" si="5"/>
        <v>3000</v>
      </c>
      <c r="H15" s="108"/>
      <c r="I15" s="108"/>
      <c r="J15" s="108"/>
      <c r="K15" s="108"/>
      <c r="L15" s="108">
        <f t="shared" si="6"/>
        <v>0</v>
      </c>
      <c r="M15" s="108">
        <f t="shared" si="6"/>
        <v>0</v>
      </c>
      <c r="N15" s="108">
        <f t="shared" si="7"/>
        <v>6000</v>
      </c>
      <c r="O15" s="108">
        <f t="shared" si="7"/>
        <v>3000</v>
      </c>
      <c r="P15" s="108">
        <f t="shared" si="7"/>
        <v>0</v>
      </c>
      <c r="Q15" s="108">
        <f t="shared" si="7"/>
        <v>0</v>
      </c>
      <c r="R15" s="108">
        <f t="shared" si="7"/>
        <v>6000</v>
      </c>
      <c r="S15" s="108">
        <f t="shared" si="7"/>
        <v>3000</v>
      </c>
    </row>
    <row r="16" spans="1:19" s="111" customFormat="1" ht="11.25">
      <c r="A16" s="125" t="s">
        <v>15</v>
      </c>
      <c r="B16" s="110">
        <f aca="true" t="shared" si="8" ref="B16:S16">SUM(B10:B15)</f>
        <v>46349</v>
      </c>
      <c r="C16" s="110">
        <f t="shared" si="8"/>
        <v>31505</v>
      </c>
      <c r="D16" s="110">
        <f t="shared" si="8"/>
        <v>1712</v>
      </c>
      <c r="E16" s="110">
        <f t="shared" si="8"/>
        <v>3608</v>
      </c>
      <c r="F16" s="110">
        <f t="shared" si="8"/>
        <v>48061</v>
      </c>
      <c r="G16" s="110">
        <f t="shared" si="8"/>
        <v>35113</v>
      </c>
      <c r="H16" s="110">
        <f t="shared" si="8"/>
        <v>147612</v>
      </c>
      <c r="I16" s="110">
        <f t="shared" si="8"/>
        <v>71619</v>
      </c>
      <c r="J16" s="110">
        <f t="shared" si="8"/>
        <v>12858</v>
      </c>
      <c r="K16" s="110">
        <f t="shared" si="8"/>
        <v>6515</v>
      </c>
      <c r="L16" s="110">
        <f t="shared" si="8"/>
        <v>160470</v>
      </c>
      <c r="M16" s="110">
        <f t="shared" si="8"/>
        <v>78134</v>
      </c>
      <c r="N16" s="110">
        <f t="shared" si="8"/>
        <v>193961</v>
      </c>
      <c r="O16" s="110">
        <f t="shared" si="8"/>
        <v>103124</v>
      </c>
      <c r="P16" s="110">
        <f t="shared" si="8"/>
        <v>14570</v>
      </c>
      <c r="Q16" s="110">
        <f t="shared" si="8"/>
        <v>10123</v>
      </c>
      <c r="R16" s="110">
        <f t="shared" si="8"/>
        <v>208531</v>
      </c>
      <c r="S16" s="110">
        <f t="shared" si="8"/>
        <v>113247</v>
      </c>
    </row>
    <row r="17" spans="1:19" s="111" customFormat="1" ht="11.25">
      <c r="A17" s="125" t="s">
        <v>156</v>
      </c>
      <c r="B17" s="110"/>
      <c r="C17" s="110"/>
      <c r="D17" s="110"/>
      <c r="E17" s="110"/>
      <c r="F17" s="108">
        <f aca="true" t="shared" si="9" ref="F17:G19">B17+D17</f>
        <v>0</v>
      </c>
      <c r="G17" s="109">
        <f t="shared" si="9"/>
        <v>0</v>
      </c>
      <c r="H17" s="110"/>
      <c r="I17" s="110"/>
      <c r="J17" s="110"/>
      <c r="K17" s="110"/>
      <c r="L17" s="108">
        <f aca="true" t="shared" si="10" ref="L17:M19">H17+J17</f>
        <v>0</v>
      </c>
      <c r="M17" s="108">
        <f t="shared" si="10"/>
        <v>0</v>
      </c>
      <c r="N17" s="108">
        <f aca="true" t="shared" si="11" ref="N17:S19">B17+H17</f>
        <v>0</v>
      </c>
      <c r="O17" s="108">
        <f t="shared" si="11"/>
        <v>0</v>
      </c>
      <c r="P17" s="108">
        <f t="shared" si="11"/>
        <v>0</v>
      </c>
      <c r="Q17" s="108">
        <f t="shared" si="11"/>
        <v>0</v>
      </c>
      <c r="R17" s="108">
        <f t="shared" si="11"/>
        <v>0</v>
      </c>
      <c r="S17" s="108">
        <f t="shared" si="11"/>
        <v>0</v>
      </c>
    </row>
    <row r="18" spans="1:19" ht="11.25">
      <c r="A18" s="104" t="s">
        <v>13</v>
      </c>
      <c r="B18" s="108">
        <v>5937</v>
      </c>
      <c r="C18" s="108"/>
      <c r="D18" s="108"/>
      <c r="E18" s="108"/>
      <c r="F18" s="108">
        <f t="shared" si="9"/>
        <v>5937</v>
      </c>
      <c r="G18" s="109">
        <f t="shared" si="9"/>
        <v>0</v>
      </c>
      <c r="H18" s="108"/>
      <c r="I18" s="108"/>
      <c r="J18" s="108"/>
      <c r="K18" s="108"/>
      <c r="L18" s="108">
        <f t="shared" si="10"/>
        <v>0</v>
      </c>
      <c r="M18" s="108">
        <f t="shared" si="10"/>
        <v>0</v>
      </c>
      <c r="N18" s="108">
        <f t="shared" si="11"/>
        <v>5937</v>
      </c>
      <c r="O18" s="108">
        <f t="shared" si="11"/>
        <v>0</v>
      </c>
      <c r="P18" s="108">
        <f t="shared" si="11"/>
        <v>0</v>
      </c>
      <c r="Q18" s="108">
        <f t="shared" si="11"/>
        <v>0</v>
      </c>
      <c r="R18" s="108">
        <f t="shared" si="11"/>
        <v>5937</v>
      </c>
      <c r="S18" s="108">
        <f t="shared" si="11"/>
        <v>0</v>
      </c>
    </row>
    <row r="19" spans="1:19" ht="11.25">
      <c r="A19" s="104" t="s">
        <v>14</v>
      </c>
      <c r="B19" s="108"/>
      <c r="C19" s="108"/>
      <c r="D19" s="108"/>
      <c r="E19" s="108"/>
      <c r="F19" s="108">
        <f t="shared" si="9"/>
        <v>0</v>
      </c>
      <c r="G19" s="109">
        <f t="shared" si="9"/>
        <v>0</v>
      </c>
      <c r="H19" s="108"/>
      <c r="I19" s="108"/>
      <c r="J19" s="108"/>
      <c r="K19" s="108"/>
      <c r="L19" s="108">
        <f t="shared" si="10"/>
        <v>0</v>
      </c>
      <c r="M19" s="108">
        <f t="shared" si="10"/>
        <v>0</v>
      </c>
      <c r="N19" s="108">
        <f t="shared" si="11"/>
        <v>0</v>
      </c>
      <c r="O19" s="108">
        <f t="shared" si="11"/>
        <v>0</v>
      </c>
      <c r="P19" s="108">
        <f t="shared" si="11"/>
        <v>0</v>
      </c>
      <c r="Q19" s="108">
        <f t="shared" si="11"/>
        <v>0</v>
      </c>
      <c r="R19" s="108">
        <f t="shared" si="11"/>
        <v>0</v>
      </c>
      <c r="S19" s="108">
        <f t="shared" si="11"/>
        <v>0</v>
      </c>
    </row>
    <row r="20" spans="1:19" s="111" customFormat="1" ht="11.25">
      <c r="A20" s="125" t="s">
        <v>16</v>
      </c>
      <c r="B20" s="110">
        <f aca="true" t="shared" si="12" ref="B20:S20">SUM(B18:B19)</f>
        <v>5937</v>
      </c>
      <c r="C20" s="110">
        <f t="shared" si="12"/>
        <v>0</v>
      </c>
      <c r="D20" s="110">
        <f t="shared" si="12"/>
        <v>0</v>
      </c>
      <c r="E20" s="110">
        <f t="shared" si="12"/>
        <v>0</v>
      </c>
      <c r="F20" s="110">
        <f t="shared" si="12"/>
        <v>5937</v>
      </c>
      <c r="G20" s="110">
        <f t="shared" si="12"/>
        <v>0</v>
      </c>
      <c r="H20" s="110">
        <f t="shared" si="12"/>
        <v>0</v>
      </c>
      <c r="I20" s="110">
        <f t="shared" si="12"/>
        <v>0</v>
      </c>
      <c r="J20" s="110">
        <f t="shared" si="12"/>
        <v>0</v>
      </c>
      <c r="K20" s="110">
        <f t="shared" si="12"/>
        <v>0</v>
      </c>
      <c r="L20" s="110">
        <f t="shared" si="12"/>
        <v>0</v>
      </c>
      <c r="M20" s="110">
        <f t="shared" si="12"/>
        <v>0</v>
      </c>
      <c r="N20" s="110">
        <f t="shared" si="12"/>
        <v>5937</v>
      </c>
      <c r="O20" s="110">
        <f t="shared" si="12"/>
        <v>0</v>
      </c>
      <c r="P20" s="110">
        <f t="shared" si="12"/>
        <v>0</v>
      </c>
      <c r="Q20" s="110">
        <f t="shared" si="12"/>
        <v>0</v>
      </c>
      <c r="R20" s="110">
        <f t="shared" si="12"/>
        <v>5937</v>
      </c>
      <c r="S20" s="110">
        <f t="shared" si="12"/>
        <v>0</v>
      </c>
    </row>
    <row r="21" spans="1:19" s="115" customFormat="1" ht="13.5" customHeight="1">
      <c r="A21" s="114" t="s">
        <v>17</v>
      </c>
      <c r="B21" s="112">
        <f aca="true" t="shared" si="13" ref="B21:S21">B16+B20</f>
        <v>52286</v>
      </c>
      <c r="C21" s="112">
        <f t="shared" si="13"/>
        <v>31505</v>
      </c>
      <c r="D21" s="112">
        <f t="shared" si="13"/>
        <v>1712</v>
      </c>
      <c r="E21" s="112">
        <f t="shared" si="13"/>
        <v>3608</v>
      </c>
      <c r="F21" s="112">
        <f t="shared" si="13"/>
        <v>53998</v>
      </c>
      <c r="G21" s="112">
        <f t="shared" si="13"/>
        <v>35113</v>
      </c>
      <c r="H21" s="112">
        <f t="shared" si="13"/>
        <v>147612</v>
      </c>
      <c r="I21" s="112">
        <f t="shared" si="13"/>
        <v>71619</v>
      </c>
      <c r="J21" s="112">
        <f t="shared" si="13"/>
        <v>12858</v>
      </c>
      <c r="K21" s="112">
        <f t="shared" si="13"/>
        <v>6515</v>
      </c>
      <c r="L21" s="112">
        <f t="shared" si="13"/>
        <v>160470</v>
      </c>
      <c r="M21" s="112">
        <f t="shared" si="13"/>
        <v>78134</v>
      </c>
      <c r="N21" s="112">
        <f t="shared" si="13"/>
        <v>199898</v>
      </c>
      <c r="O21" s="112">
        <f t="shared" si="13"/>
        <v>103124</v>
      </c>
      <c r="P21" s="112">
        <f t="shared" si="13"/>
        <v>14570</v>
      </c>
      <c r="Q21" s="112">
        <f t="shared" si="13"/>
        <v>10123</v>
      </c>
      <c r="R21" s="112">
        <f t="shared" si="13"/>
        <v>214468</v>
      </c>
      <c r="S21" s="112">
        <f t="shared" si="13"/>
        <v>113247</v>
      </c>
    </row>
    <row r="22" spans="1:19" s="115" customFormat="1" ht="13.5" customHeight="1">
      <c r="A22" s="114"/>
      <c r="B22" s="112"/>
      <c r="C22" s="112"/>
      <c r="D22" s="112"/>
      <c r="E22" s="112"/>
      <c r="F22" s="112"/>
      <c r="G22" s="113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4"/>
    </row>
    <row r="23" spans="1:19" ht="11.25">
      <c r="A23" s="104"/>
      <c r="B23" s="108"/>
      <c r="C23" s="108"/>
      <c r="D23" s="108"/>
      <c r="E23" s="108"/>
      <c r="F23" s="108"/>
      <c r="G23" s="109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4"/>
    </row>
    <row r="24" spans="1:19" ht="11.25">
      <c r="A24" s="126" t="s">
        <v>19</v>
      </c>
      <c r="B24" s="103"/>
      <c r="C24" s="103"/>
      <c r="D24" s="103"/>
      <c r="E24" s="103"/>
      <c r="F24" s="103"/>
      <c r="G24" s="116"/>
      <c r="H24" s="103"/>
      <c r="I24" s="103"/>
      <c r="J24" s="103"/>
      <c r="K24" s="103"/>
      <c r="L24" s="103"/>
      <c r="M24" s="103"/>
      <c r="N24" s="108"/>
      <c r="O24" s="108"/>
      <c r="P24" s="108"/>
      <c r="Q24" s="108"/>
      <c r="R24" s="108"/>
      <c r="S24" s="104"/>
    </row>
    <row r="25" spans="1:19" ht="11.25">
      <c r="A25" s="104" t="s">
        <v>20</v>
      </c>
      <c r="B25" s="108">
        <v>5280</v>
      </c>
      <c r="C25" s="108">
        <v>1667</v>
      </c>
      <c r="D25" s="108">
        <v>1552</v>
      </c>
      <c r="E25" s="108">
        <v>4283</v>
      </c>
      <c r="F25" s="108">
        <f>B25+D25</f>
        <v>6832</v>
      </c>
      <c r="G25" s="109">
        <f>C25+E25</f>
        <v>5950</v>
      </c>
      <c r="H25" s="108">
        <v>62040</v>
      </c>
      <c r="I25" s="108">
        <v>25130</v>
      </c>
      <c r="J25" s="108"/>
      <c r="K25" s="108">
        <v>41</v>
      </c>
      <c r="L25" s="108">
        <f>H25+J25</f>
        <v>62040</v>
      </c>
      <c r="M25" s="108">
        <f>I25+K25</f>
        <v>25171</v>
      </c>
      <c r="N25" s="108">
        <f aca="true" t="shared" si="14" ref="N25:S26">B25+H25</f>
        <v>67320</v>
      </c>
      <c r="O25" s="108">
        <f t="shared" si="14"/>
        <v>26797</v>
      </c>
      <c r="P25" s="108">
        <f t="shared" si="14"/>
        <v>1552</v>
      </c>
      <c r="Q25" s="108">
        <f t="shared" si="14"/>
        <v>4324</v>
      </c>
      <c r="R25" s="108">
        <f t="shared" si="14"/>
        <v>68872</v>
      </c>
      <c r="S25" s="108">
        <f t="shared" si="14"/>
        <v>31121</v>
      </c>
    </row>
    <row r="26" spans="1:19" ht="11.25">
      <c r="A26" s="104" t="s">
        <v>21</v>
      </c>
      <c r="B26" s="108">
        <v>23447</v>
      </c>
      <c r="C26" s="108">
        <v>11529</v>
      </c>
      <c r="D26" s="108"/>
      <c r="E26" s="108"/>
      <c r="F26" s="108">
        <f>B26+D26</f>
        <v>23447</v>
      </c>
      <c r="G26" s="109">
        <f>C26+E26</f>
        <v>11529</v>
      </c>
      <c r="H26" s="108"/>
      <c r="I26" s="108">
        <v>635</v>
      </c>
      <c r="J26" s="108">
        <v>12018</v>
      </c>
      <c r="K26" s="108">
        <v>7495</v>
      </c>
      <c r="L26" s="108">
        <f>H26+J26</f>
        <v>12018</v>
      </c>
      <c r="M26" s="108">
        <f>I26+K26</f>
        <v>8130</v>
      </c>
      <c r="N26" s="108">
        <f t="shared" si="14"/>
        <v>23447</v>
      </c>
      <c r="O26" s="108">
        <f t="shared" si="14"/>
        <v>12164</v>
      </c>
      <c r="P26" s="108">
        <f t="shared" si="14"/>
        <v>12018</v>
      </c>
      <c r="Q26" s="108">
        <f t="shared" si="14"/>
        <v>7495</v>
      </c>
      <c r="R26" s="108">
        <f t="shared" si="14"/>
        <v>35465</v>
      </c>
      <c r="S26" s="108">
        <f t="shared" si="14"/>
        <v>19659</v>
      </c>
    </row>
    <row r="27" spans="1:19" ht="11.25">
      <c r="A27" s="104" t="s">
        <v>22</v>
      </c>
      <c r="B27" s="108">
        <f aca="true" t="shared" si="15" ref="B27:G27">SUM(B25:B26)</f>
        <v>28727</v>
      </c>
      <c r="C27" s="108">
        <f t="shared" si="15"/>
        <v>13196</v>
      </c>
      <c r="D27" s="108">
        <f t="shared" si="15"/>
        <v>1552</v>
      </c>
      <c r="E27" s="108">
        <f t="shared" si="15"/>
        <v>4283</v>
      </c>
      <c r="F27" s="108">
        <f t="shared" si="15"/>
        <v>30279</v>
      </c>
      <c r="G27" s="109">
        <f t="shared" si="15"/>
        <v>17479</v>
      </c>
      <c r="H27" s="109">
        <f aca="true" t="shared" si="16" ref="H27:S27">SUM(H25:H26)</f>
        <v>62040</v>
      </c>
      <c r="I27" s="109">
        <f t="shared" si="16"/>
        <v>25765</v>
      </c>
      <c r="J27" s="109">
        <f t="shared" si="16"/>
        <v>12018</v>
      </c>
      <c r="K27" s="109">
        <f t="shared" si="16"/>
        <v>7536</v>
      </c>
      <c r="L27" s="109">
        <f t="shared" si="16"/>
        <v>74058</v>
      </c>
      <c r="M27" s="109">
        <f t="shared" si="16"/>
        <v>33301</v>
      </c>
      <c r="N27" s="109">
        <f t="shared" si="16"/>
        <v>90767</v>
      </c>
      <c r="O27" s="109">
        <f t="shared" si="16"/>
        <v>38961</v>
      </c>
      <c r="P27" s="109">
        <f t="shared" si="16"/>
        <v>13570</v>
      </c>
      <c r="Q27" s="109">
        <f t="shared" si="16"/>
        <v>11819</v>
      </c>
      <c r="R27" s="109">
        <f t="shared" si="16"/>
        <v>104337</v>
      </c>
      <c r="S27" s="108">
        <f t="shared" si="16"/>
        <v>50780</v>
      </c>
    </row>
    <row r="28" spans="1:19" ht="11.25">
      <c r="A28" s="104" t="s">
        <v>263</v>
      </c>
      <c r="B28" s="108"/>
      <c r="C28" s="108">
        <v>1746</v>
      </c>
      <c r="D28" s="108"/>
      <c r="E28" s="108"/>
      <c r="F28" s="108">
        <f aca="true" t="shared" si="17" ref="F28:G30">B28+D28</f>
        <v>0</v>
      </c>
      <c r="G28" s="109">
        <f t="shared" si="17"/>
        <v>1746</v>
      </c>
      <c r="H28" s="108"/>
      <c r="I28" s="108"/>
      <c r="J28" s="108"/>
      <c r="K28" s="108"/>
      <c r="L28" s="108">
        <f aca="true" t="shared" si="18" ref="L28:M31">H28+J28</f>
        <v>0</v>
      </c>
      <c r="M28" s="108">
        <f t="shared" si="18"/>
        <v>0</v>
      </c>
      <c r="N28" s="108">
        <f aca="true" t="shared" si="19" ref="N28:S30">B28+H28</f>
        <v>0</v>
      </c>
      <c r="O28" s="108">
        <f t="shared" si="19"/>
        <v>1746</v>
      </c>
      <c r="P28" s="108">
        <f t="shared" si="19"/>
        <v>0</v>
      </c>
      <c r="Q28" s="108">
        <f t="shared" si="19"/>
        <v>0</v>
      </c>
      <c r="R28" s="108">
        <f t="shared" si="19"/>
        <v>0</v>
      </c>
      <c r="S28" s="108">
        <f t="shared" si="19"/>
        <v>1746</v>
      </c>
    </row>
    <row r="29" spans="1:19" ht="11.25">
      <c r="A29" s="104" t="s">
        <v>23</v>
      </c>
      <c r="B29" s="108">
        <v>62675</v>
      </c>
      <c r="C29" s="108">
        <v>31338</v>
      </c>
      <c r="D29" s="108"/>
      <c r="E29" s="108"/>
      <c r="F29" s="108">
        <f t="shared" si="17"/>
        <v>62675</v>
      </c>
      <c r="G29" s="109">
        <f t="shared" si="17"/>
        <v>31338</v>
      </c>
      <c r="H29" s="108"/>
      <c r="I29" s="108"/>
      <c r="J29" s="108"/>
      <c r="K29" s="108"/>
      <c r="L29" s="108">
        <f t="shared" si="18"/>
        <v>0</v>
      </c>
      <c r="M29" s="108">
        <f t="shared" si="18"/>
        <v>0</v>
      </c>
      <c r="N29" s="108">
        <f t="shared" si="19"/>
        <v>62675</v>
      </c>
      <c r="O29" s="108">
        <f t="shared" si="19"/>
        <v>31338</v>
      </c>
      <c r="P29" s="108">
        <f t="shared" si="19"/>
        <v>0</v>
      </c>
      <c r="Q29" s="108">
        <f t="shared" si="19"/>
        <v>0</v>
      </c>
      <c r="R29" s="108">
        <f t="shared" si="19"/>
        <v>62675</v>
      </c>
      <c r="S29" s="108">
        <f t="shared" si="19"/>
        <v>31338</v>
      </c>
    </row>
    <row r="30" spans="1:19" ht="11.25">
      <c r="A30" s="104" t="s">
        <v>228</v>
      </c>
      <c r="B30" s="108">
        <v>17630</v>
      </c>
      <c r="C30" s="108">
        <v>8814</v>
      </c>
      <c r="D30" s="108"/>
      <c r="E30" s="108"/>
      <c r="F30" s="108">
        <f t="shared" si="17"/>
        <v>17630</v>
      </c>
      <c r="G30" s="109">
        <f t="shared" si="17"/>
        <v>8814</v>
      </c>
      <c r="H30" s="108"/>
      <c r="I30" s="108"/>
      <c r="J30" s="108"/>
      <c r="K30" s="108"/>
      <c r="L30" s="108">
        <f t="shared" si="18"/>
        <v>0</v>
      </c>
      <c r="M30" s="108">
        <f t="shared" si="18"/>
        <v>0</v>
      </c>
      <c r="N30" s="108">
        <f t="shared" si="19"/>
        <v>17630</v>
      </c>
      <c r="O30" s="108">
        <f t="shared" si="19"/>
        <v>8814</v>
      </c>
      <c r="P30" s="108">
        <f t="shared" si="19"/>
        <v>0</v>
      </c>
      <c r="Q30" s="108">
        <f t="shared" si="19"/>
        <v>0</v>
      </c>
      <c r="R30" s="108">
        <f t="shared" si="19"/>
        <v>17630</v>
      </c>
      <c r="S30" s="108">
        <f t="shared" si="19"/>
        <v>8814</v>
      </c>
    </row>
    <row r="31" spans="1:19" ht="11.25">
      <c r="A31" s="104" t="s">
        <v>264</v>
      </c>
      <c r="B31" s="108"/>
      <c r="C31" s="108">
        <v>1470</v>
      </c>
      <c r="D31" s="108"/>
      <c r="E31" s="108"/>
      <c r="F31" s="108"/>
      <c r="G31" s="109">
        <f>C31+E31</f>
        <v>1470</v>
      </c>
      <c r="H31" s="108"/>
      <c r="I31" s="108"/>
      <c r="J31" s="108"/>
      <c r="K31" s="108"/>
      <c r="L31" s="108">
        <f t="shared" si="18"/>
        <v>0</v>
      </c>
      <c r="M31" s="108">
        <f t="shared" si="18"/>
        <v>0</v>
      </c>
      <c r="N31" s="108"/>
      <c r="O31" s="108"/>
      <c r="P31" s="108">
        <f>D31+J31</f>
        <v>0</v>
      </c>
      <c r="Q31" s="108">
        <f>E31+K31</f>
        <v>0</v>
      </c>
      <c r="R31" s="108">
        <f>F31+L31</f>
        <v>0</v>
      </c>
      <c r="S31" s="108">
        <f>G31+M31</f>
        <v>1470</v>
      </c>
    </row>
    <row r="32" spans="1:19" ht="11.25">
      <c r="A32" s="104" t="s">
        <v>24</v>
      </c>
      <c r="B32" s="108">
        <f aca="true" t="shared" si="20" ref="B32:G32">SUM(B29:B31)</f>
        <v>80305</v>
      </c>
      <c r="C32" s="108">
        <f t="shared" si="20"/>
        <v>41622</v>
      </c>
      <c r="D32" s="108">
        <f t="shared" si="20"/>
        <v>0</v>
      </c>
      <c r="E32" s="108">
        <f t="shared" si="20"/>
        <v>0</v>
      </c>
      <c r="F32" s="108">
        <f t="shared" si="20"/>
        <v>80305</v>
      </c>
      <c r="G32" s="109">
        <f t="shared" si="20"/>
        <v>41622</v>
      </c>
      <c r="H32" s="109">
        <f aca="true" t="shared" si="21" ref="H32:O32">SUM(H29:H31)</f>
        <v>0</v>
      </c>
      <c r="I32" s="109">
        <f t="shared" si="21"/>
        <v>0</v>
      </c>
      <c r="J32" s="109">
        <f t="shared" si="21"/>
        <v>0</v>
      </c>
      <c r="K32" s="109">
        <f t="shared" si="21"/>
        <v>0</v>
      </c>
      <c r="L32" s="109">
        <f t="shared" si="21"/>
        <v>0</v>
      </c>
      <c r="M32" s="109">
        <f t="shared" si="21"/>
        <v>0</v>
      </c>
      <c r="N32" s="109">
        <f t="shared" si="21"/>
        <v>80305</v>
      </c>
      <c r="O32" s="109">
        <f t="shared" si="21"/>
        <v>40152</v>
      </c>
      <c r="P32" s="108">
        <f>D32+J32</f>
        <v>0</v>
      </c>
      <c r="Q32" s="108">
        <f>E32+K32</f>
        <v>0</v>
      </c>
      <c r="R32" s="109">
        <f>SUM(R29:R31)</f>
        <v>80305</v>
      </c>
      <c r="S32" s="108">
        <f>SUM(S29:S31)</f>
        <v>41622</v>
      </c>
    </row>
    <row r="33" spans="1:19" ht="11.25">
      <c r="A33" s="104" t="s">
        <v>25</v>
      </c>
      <c r="B33" s="108">
        <v>29826</v>
      </c>
      <c r="C33" s="108">
        <v>29826</v>
      </c>
      <c r="D33" s="108"/>
      <c r="E33" s="108"/>
      <c r="F33" s="108">
        <f>B33+D33</f>
        <v>29826</v>
      </c>
      <c r="G33" s="109">
        <v>24165</v>
      </c>
      <c r="H33" s="108"/>
      <c r="I33" s="108"/>
      <c r="J33" s="108"/>
      <c r="K33" s="108"/>
      <c r="L33" s="108">
        <f>H33+J33</f>
        <v>0</v>
      </c>
      <c r="M33" s="108">
        <f>I33+K33</f>
        <v>0</v>
      </c>
      <c r="N33" s="108">
        <f>B33+H33</f>
        <v>29826</v>
      </c>
      <c r="O33" s="108">
        <v>24165</v>
      </c>
      <c r="P33" s="108">
        <f>D33+J33</f>
        <v>0</v>
      </c>
      <c r="Q33" s="108">
        <f>E33+K33</f>
        <v>0</v>
      </c>
      <c r="R33" s="108">
        <f>F33+L33</f>
        <v>29826</v>
      </c>
      <c r="S33" s="108">
        <f>G33+M33</f>
        <v>24165</v>
      </c>
    </row>
    <row r="34" spans="1:19" ht="11.25">
      <c r="A34" s="104" t="s">
        <v>152</v>
      </c>
      <c r="B34" s="108">
        <f aca="true" t="shared" si="22" ref="B34:S34">B27+B28+B32+B33</f>
        <v>138858</v>
      </c>
      <c r="C34" s="108">
        <f t="shared" si="22"/>
        <v>86390</v>
      </c>
      <c r="D34" s="108">
        <f t="shared" si="22"/>
        <v>1552</v>
      </c>
      <c r="E34" s="108">
        <f t="shared" si="22"/>
        <v>4283</v>
      </c>
      <c r="F34" s="108">
        <f t="shared" si="22"/>
        <v>140410</v>
      </c>
      <c r="G34" s="108">
        <f t="shared" si="22"/>
        <v>85012</v>
      </c>
      <c r="H34" s="108">
        <f t="shared" si="22"/>
        <v>62040</v>
      </c>
      <c r="I34" s="108">
        <f t="shared" si="22"/>
        <v>25765</v>
      </c>
      <c r="J34" s="108">
        <f t="shared" si="22"/>
        <v>12018</v>
      </c>
      <c r="K34" s="108">
        <f t="shared" si="22"/>
        <v>7536</v>
      </c>
      <c r="L34" s="108">
        <f t="shared" si="22"/>
        <v>74058</v>
      </c>
      <c r="M34" s="108">
        <f t="shared" si="22"/>
        <v>33301</v>
      </c>
      <c r="N34" s="108">
        <f t="shared" si="22"/>
        <v>200898</v>
      </c>
      <c r="O34" s="108">
        <f t="shared" si="22"/>
        <v>105024</v>
      </c>
      <c r="P34" s="108">
        <f t="shared" si="22"/>
        <v>13570</v>
      </c>
      <c r="Q34" s="108">
        <f t="shared" si="22"/>
        <v>11819</v>
      </c>
      <c r="R34" s="108">
        <f t="shared" si="22"/>
        <v>214468</v>
      </c>
      <c r="S34" s="108">
        <f t="shared" si="22"/>
        <v>118313</v>
      </c>
    </row>
    <row r="35" spans="1:19" ht="11.25">
      <c r="A35" s="104" t="s">
        <v>157</v>
      </c>
      <c r="B35" s="108"/>
      <c r="C35" s="108"/>
      <c r="D35" s="108"/>
      <c r="E35" s="108"/>
      <c r="F35" s="108">
        <f>B35+D35</f>
        <v>0</v>
      </c>
      <c r="G35" s="109">
        <f>C35+E35</f>
        <v>0</v>
      </c>
      <c r="H35" s="108"/>
      <c r="I35" s="108"/>
      <c r="J35" s="108"/>
      <c r="K35" s="108"/>
      <c r="L35" s="108">
        <f>H35+J35</f>
        <v>0</v>
      </c>
      <c r="M35" s="108">
        <f>I35+K35</f>
        <v>0</v>
      </c>
      <c r="N35" s="108">
        <f aca="true" t="shared" si="23" ref="N35:S35">B35+H35</f>
        <v>0</v>
      </c>
      <c r="O35" s="108">
        <f t="shared" si="23"/>
        <v>0</v>
      </c>
      <c r="P35" s="108">
        <f t="shared" si="23"/>
        <v>0</v>
      </c>
      <c r="Q35" s="108">
        <f t="shared" si="23"/>
        <v>0</v>
      </c>
      <c r="R35" s="108">
        <f t="shared" si="23"/>
        <v>0</v>
      </c>
      <c r="S35" s="108">
        <f t="shared" si="23"/>
        <v>0</v>
      </c>
    </row>
    <row r="36" spans="1:19" s="115" customFormat="1" ht="10.5">
      <c r="A36" s="114" t="s">
        <v>26</v>
      </c>
      <c r="B36" s="112">
        <f aca="true" t="shared" si="24" ref="B36:S36">B34+B35</f>
        <v>138858</v>
      </c>
      <c r="C36" s="112">
        <f t="shared" si="24"/>
        <v>86390</v>
      </c>
      <c r="D36" s="112">
        <f t="shared" si="24"/>
        <v>1552</v>
      </c>
      <c r="E36" s="112">
        <f t="shared" si="24"/>
        <v>4283</v>
      </c>
      <c r="F36" s="112">
        <f t="shared" si="24"/>
        <v>140410</v>
      </c>
      <c r="G36" s="112">
        <f t="shared" si="24"/>
        <v>85012</v>
      </c>
      <c r="H36" s="112">
        <f t="shared" si="24"/>
        <v>62040</v>
      </c>
      <c r="I36" s="112">
        <f t="shared" si="24"/>
        <v>25765</v>
      </c>
      <c r="J36" s="112">
        <f t="shared" si="24"/>
        <v>12018</v>
      </c>
      <c r="K36" s="112">
        <f t="shared" si="24"/>
        <v>7536</v>
      </c>
      <c r="L36" s="112">
        <f t="shared" si="24"/>
        <v>74058</v>
      </c>
      <c r="M36" s="112">
        <f t="shared" si="24"/>
        <v>33301</v>
      </c>
      <c r="N36" s="112">
        <f t="shared" si="24"/>
        <v>200898</v>
      </c>
      <c r="O36" s="112">
        <f t="shared" si="24"/>
        <v>105024</v>
      </c>
      <c r="P36" s="112">
        <f t="shared" si="24"/>
        <v>13570</v>
      </c>
      <c r="Q36" s="112">
        <f t="shared" si="24"/>
        <v>11819</v>
      </c>
      <c r="R36" s="112">
        <f t="shared" si="24"/>
        <v>214468</v>
      </c>
      <c r="S36" s="112">
        <f t="shared" si="24"/>
        <v>118313</v>
      </c>
    </row>
    <row r="37" spans="1:19" s="115" customFormat="1" ht="10.5">
      <c r="A37" s="114"/>
      <c r="B37" s="112"/>
      <c r="C37" s="112"/>
      <c r="D37" s="112"/>
      <c r="E37" s="112"/>
      <c r="F37" s="112"/>
      <c r="G37" s="113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4"/>
    </row>
    <row r="38" spans="1:19" s="111" customFormat="1" ht="11.25">
      <c r="A38" s="125" t="s">
        <v>88</v>
      </c>
      <c r="B38" s="110" t="s">
        <v>230</v>
      </c>
      <c r="C38" s="110" t="s">
        <v>265</v>
      </c>
      <c r="D38" s="110"/>
      <c r="E38" s="110"/>
      <c r="F38" s="110" t="s">
        <v>230</v>
      </c>
      <c r="G38" s="118" t="s">
        <v>230</v>
      </c>
      <c r="H38" s="117" t="s">
        <v>242</v>
      </c>
      <c r="I38" s="117" t="s">
        <v>267</v>
      </c>
      <c r="J38" s="117" t="s">
        <v>243</v>
      </c>
      <c r="K38" s="117" t="s">
        <v>243</v>
      </c>
      <c r="L38" s="110" t="s">
        <v>233</v>
      </c>
      <c r="M38" s="117" t="s">
        <v>256</v>
      </c>
      <c r="N38" s="117" t="s">
        <v>244</v>
      </c>
      <c r="O38" s="117" t="s">
        <v>268</v>
      </c>
      <c r="P38" s="117" t="s">
        <v>243</v>
      </c>
      <c r="Q38" s="117" t="s">
        <v>243</v>
      </c>
      <c r="R38" s="117" t="s">
        <v>234</v>
      </c>
      <c r="S38" s="119" t="s">
        <v>258</v>
      </c>
    </row>
    <row r="39" spans="1:19" ht="11.25">
      <c r="A39" s="104"/>
      <c r="B39" s="108"/>
      <c r="C39" s="108"/>
      <c r="D39" s="108"/>
      <c r="E39" s="108"/>
      <c r="F39" s="108"/>
      <c r="G39" s="109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4"/>
    </row>
  </sheetData>
  <sheetProtection/>
  <mergeCells count="13">
    <mergeCell ref="N2:R2"/>
    <mergeCell ref="A2:A3"/>
    <mergeCell ref="H2:L2"/>
    <mergeCell ref="B2:F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26" right="0.21" top="0.92" bottom="0.35" header="0.35" footer="0.17"/>
  <pageSetup horizontalDpi="600" verticalDpi="600" orientation="landscape" paperSize="9" r:id="rId1"/>
  <headerFooter alignWithMargins="0">
    <oddHeader>&amp;C&amp;"Times New Roman,Félkövér dőlt"&amp;11
Polgári Kistérség Többcélú Társulásának kötelező és önként vállalt feladatinak 
2013.évi költségvetési bevételei és kiadásai&amp;R&amp;"Times New Roman,Dőlt"&amp;8 2.számú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30.7109375" style="1" bestFit="1" customWidth="1"/>
    <col min="2" max="2" width="13.421875" style="2" customWidth="1"/>
    <col min="3" max="3" width="14.421875" style="98" customWidth="1"/>
    <col min="4" max="16384" width="9.140625" style="1" customWidth="1"/>
  </cols>
  <sheetData>
    <row r="1" spans="1:3" ht="12.75">
      <c r="A1" s="221" t="s">
        <v>0</v>
      </c>
      <c r="B1" s="223" t="s">
        <v>250</v>
      </c>
      <c r="C1" s="225" t="s">
        <v>246</v>
      </c>
    </row>
    <row r="2" spans="1:3" ht="13.5" thickBot="1">
      <c r="A2" s="222"/>
      <c r="B2" s="224"/>
      <c r="C2" s="226"/>
    </row>
    <row r="3" spans="1:3" ht="13.5" thickTop="1">
      <c r="A3" s="9"/>
      <c r="B3" s="8"/>
      <c r="C3" s="95"/>
    </row>
    <row r="4" spans="1:3" ht="12.75">
      <c r="A4" s="92" t="s">
        <v>199</v>
      </c>
      <c r="B4" s="85">
        <v>0</v>
      </c>
      <c r="C4" s="96"/>
    </row>
    <row r="5" spans="1:3" ht="12.75">
      <c r="A5" s="92" t="s">
        <v>201</v>
      </c>
      <c r="B5" s="85" t="s">
        <v>230</v>
      </c>
      <c r="C5" s="96" t="s">
        <v>230</v>
      </c>
    </row>
    <row r="6" spans="1:3" ht="12.75">
      <c r="A6" s="92"/>
      <c r="B6" s="85"/>
      <c r="C6" s="96"/>
    </row>
    <row r="7" spans="1:3" ht="12.75">
      <c r="A7" s="13" t="s">
        <v>257</v>
      </c>
      <c r="B7" s="85" t="s">
        <v>230</v>
      </c>
      <c r="C7" s="96" t="s">
        <v>230</v>
      </c>
    </row>
    <row r="8" spans="1:3" ht="12.75">
      <c r="A8" s="13"/>
      <c r="B8" s="85"/>
      <c r="C8" s="96"/>
    </row>
    <row r="9" spans="1:3" ht="12.75">
      <c r="A9" s="13" t="s">
        <v>3</v>
      </c>
      <c r="B9" s="85"/>
      <c r="C9" s="96"/>
    </row>
    <row r="10" spans="1:3" ht="12.75">
      <c r="A10" s="13" t="s">
        <v>202</v>
      </c>
      <c r="B10" s="85" t="s">
        <v>200</v>
      </c>
      <c r="C10" s="85" t="s">
        <v>200</v>
      </c>
    </row>
    <row r="11" spans="1:3" ht="12.75">
      <c r="A11" s="13" t="s">
        <v>203</v>
      </c>
      <c r="B11" s="85" t="s">
        <v>231</v>
      </c>
      <c r="C11" s="96" t="s">
        <v>253</v>
      </c>
    </row>
    <row r="12" spans="1:3" ht="12.75">
      <c r="A12" s="92" t="s">
        <v>201</v>
      </c>
      <c r="B12" s="85" t="s">
        <v>232</v>
      </c>
      <c r="C12" s="96"/>
    </row>
    <row r="13" spans="1:3" ht="12.75">
      <c r="A13" s="13" t="s">
        <v>254</v>
      </c>
      <c r="B13" s="85"/>
      <c r="C13" s="96" t="s">
        <v>255</v>
      </c>
    </row>
    <row r="14" spans="1:3" ht="12.75">
      <c r="A14" s="13" t="s">
        <v>257</v>
      </c>
      <c r="B14" s="85" t="s">
        <v>233</v>
      </c>
      <c r="C14" s="96" t="s">
        <v>256</v>
      </c>
    </row>
    <row r="15" spans="1:3" ht="12.75">
      <c r="A15" s="13"/>
      <c r="B15" s="85"/>
      <c r="C15" s="96"/>
    </row>
    <row r="16" spans="1:3" ht="12.75">
      <c r="A16" s="92"/>
      <c r="B16" s="85"/>
      <c r="C16" s="96"/>
    </row>
    <row r="17" spans="1:3" ht="12.75">
      <c r="A17" s="13" t="s">
        <v>28</v>
      </c>
      <c r="B17" s="93" t="s">
        <v>234</v>
      </c>
      <c r="C17" s="96" t="s">
        <v>258</v>
      </c>
    </row>
    <row r="18" spans="1:3" ht="12.75">
      <c r="A18" s="13"/>
      <c r="B18" s="94"/>
      <c r="C18" s="96"/>
    </row>
    <row r="19" spans="1:3" ht="12.75">
      <c r="A19" s="10"/>
      <c r="B19" s="11"/>
      <c r="C19" s="97"/>
    </row>
  </sheetData>
  <sheetProtection/>
  <mergeCells count="3">
    <mergeCell ref="A1:A2"/>
    <mergeCell ref="B1:B2"/>
    <mergeCell ref="C1:C2"/>
  </mergeCells>
  <printOptions horizontalCentered="1"/>
  <pageMargins left="0.7874015748031497" right="0.7874015748031497" top="1.6535433070866143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dőlt"&amp;11
Polgári Kistérség Többcélú Társulás és intézményei 2013.évi létszáma
&amp;R&amp;"Times New Roman,Dőlt"&amp;8 3.számú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65.7109375" style="1" bestFit="1" customWidth="1"/>
    <col min="2" max="2" width="14.421875" style="2" customWidth="1"/>
    <col min="3" max="3" width="13.00390625" style="2" customWidth="1"/>
    <col min="4" max="4" width="12.28125" style="1" customWidth="1"/>
    <col min="5" max="16384" width="9.140625" style="1" customWidth="1"/>
  </cols>
  <sheetData>
    <row r="1" spans="1:4" ht="12.75">
      <c r="A1" s="1" t="s">
        <v>117</v>
      </c>
      <c r="B1" s="227" t="s">
        <v>229</v>
      </c>
      <c r="C1" s="227" t="s">
        <v>259</v>
      </c>
      <c r="D1" s="228" t="s">
        <v>260</v>
      </c>
    </row>
    <row r="2" spans="2:4" ht="12.75">
      <c r="B2" s="227"/>
      <c r="C2" s="227"/>
      <c r="D2" s="228"/>
    </row>
    <row r="3" spans="1:4" ht="12.75">
      <c r="A3" s="1" t="s">
        <v>158</v>
      </c>
      <c r="B3" s="227"/>
      <c r="C3" s="227"/>
      <c r="D3" s="228"/>
    </row>
    <row r="4" ht="12.75">
      <c r="B4" s="51"/>
    </row>
    <row r="5" ht="12.75">
      <c r="A5" s="1" t="s">
        <v>159</v>
      </c>
    </row>
    <row r="6" spans="1:4" ht="12.75">
      <c r="A6" s="1" t="s">
        <v>188</v>
      </c>
      <c r="B6" s="2">
        <v>77713</v>
      </c>
      <c r="C6" s="2">
        <v>39931</v>
      </c>
      <c r="D6" s="99">
        <f>C6/B6</f>
        <v>0.5138265155122052</v>
      </c>
    </row>
    <row r="7" spans="1:4" ht="12.75">
      <c r="A7" s="1" t="s">
        <v>194</v>
      </c>
      <c r="B7" s="2">
        <v>19654</v>
      </c>
      <c r="C7" s="2">
        <v>9769</v>
      </c>
      <c r="D7" s="99">
        <f aca="true" t="shared" si="0" ref="D7:D21">C7/B7</f>
        <v>0.4970489467792816</v>
      </c>
    </row>
    <row r="8" spans="1:4" ht="12.75">
      <c r="A8" s="1" t="s">
        <v>189</v>
      </c>
      <c r="B8" s="2">
        <v>105164</v>
      </c>
      <c r="C8" s="2">
        <v>60547</v>
      </c>
      <c r="D8" s="99">
        <f t="shared" si="0"/>
        <v>0.5757388459929254</v>
      </c>
    </row>
    <row r="9" spans="1:4" ht="12.75">
      <c r="A9" s="1" t="s">
        <v>190</v>
      </c>
      <c r="B9" s="2">
        <v>6000</v>
      </c>
      <c r="C9" s="2">
        <v>3000</v>
      </c>
      <c r="D9" s="99">
        <f t="shared" si="0"/>
        <v>0.5</v>
      </c>
    </row>
    <row r="10" spans="1:4" ht="12.75">
      <c r="A10" s="1" t="s">
        <v>191</v>
      </c>
      <c r="D10" s="99"/>
    </row>
    <row r="11" spans="1:4" s="3" customFormat="1" ht="12.75">
      <c r="A11" s="3" t="s">
        <v>15</v>
      </c>
      <c r="B11" s="52">
        <f>SUM(B6:B10)</f>
        <v>208531</v>
      </c>
      <c r="C11" s="52">
        <f>SUM(C6:C10)</f>
        <v>113247</v>
      </c>
      <c r="D11" s="99">
        <f t="shared" si="0"/>
        <v>0.5430703348662789</v>
      </c>
    </row>
    <row r="12" spans="1:4" ht="12.75">
      <c r="A12" s="1" t="s">
        <v>160</v>
      </c>
      <c r="B12" s="2">
        <v>0</v>
      </c>
      <c r="D12" s="99"/>
    </row>
    <row r="13" spans="1:4" s="4" customFormat="1" ht="12.75">
      <c r="A13" s="4" t="s">
        <v>161</v>
      </c>
      <c r="B13" s="53">
        <f>SUM(B11:B12)</f>
        <v>208531</v>
      </c>
      <c r="C13" s="53">
        <f>SUM(C11:C12)</f>
        <v>113247</v>
      </c>
      <c r="D13" s="99">
        <f t="shared" si="0"/>
        <v>0.5430703348662789</v>
      </c>
    </row>
    <row r="14" spans="1:4" ht="12.75">
      <c r="A14" s="1" t="s">
        <v>162</v>
      </c>
      <c r="B14" s="2">
        <v>0</v>
      </c>
      <c r="D14" s="99"/>
    </row>
    <row r="15" spans="1:4" s="3" customFormat="1" ht="12.75">
      <c r="A15" s="3" t="s">
        <v>163</v>
      </c>
      <c r="B15" s="52">
        <f>B13+B14</f>
        <v>208531</v>
      </c>
      <c r="C15" s="52">
        <f>C13+C14</f>
        <v>113247</v>
      </c>
      <c r="D15" s="99">
        <f t="shared" si="0"/>
        <v>0.5430703348662789</v>
      </c>
    </row>
    <row r="16" spans="1:4" ht="12.75">
      <c r="A16" s="1" t="s">
        <v>164</v>
      </c>
      <c r="D16" s="99"/>
    </row>
    <row r="17" spans="1:4" ht="12.75">
      <c r="A17" s="1" t="s">
        <v>192</v>
      </c>
      <c r="B17" s="2">
        <v>5937</v>
      </c>
      <c r="D17" s="99">
        <f t="shared" si="0"/>
        <v>0</v>
      </c>
    </row>
    <row r="18" spans="1:4" ht="12.75">
      <c r="A18" s="1" t="s">
        <v>193</v>
      </c>
      <c r="D18" s="99"/>
    </row>
    <row r="19" spans="1:4" s="4" customFormat="1" ht="12.75">
      <c r="A19" s="4" t="s">
        <v>165</v>
      </c>
      <c r="B19" s="53">
        <f>SUM(B17:B18)</f>
        <v>5937</v>
      </c>
      <c r="C19" s="53">
        <f>SUM(C17:C18)</f>
        <v>0</v>
      </c>
      <c r="D19" s="99">
        <f t="shared" si="0"/>
        <v>0</v>
      </c>
    </row>
    <row r="20" spans="1:4" ht="12.75">
      <c r="A20" s="1" t="s">
        <v>166</v>
      </c>
      <c r="B20" s="2">
        <v>0</v>
      </c>
      <c r="C20" s="2">
        <v>7099</v>
      </c>
      <c r="D20" s="99"/>
    </row>
    <row r="21" spans="1:4" s="54" customFormat="1" ht="13.5">
      <c r="A21" s="54" t="s">
        <v>167</v>
      </c>
      <c r="B21" s="55">
        <f>B15+B19</f>
        <v>214468</v>
      </c>
      <c r="C21" s="55">
        <f>C15+C19+C20</f>
        <v>120346</v>
      </c>
      <c r="D21" s="99">
        <f t="shared" si="0"/>
        <v>0.5611373258481451</v>
      </c>
    </row>
    <row r="23" ht="12.75">
      <c r="A23" s="1" t="s">
        <v>168</v>
      </c>
    </row>
    <row r="25" ht="12.75">
      <c r="A25" s="1" t="s">
        <v>169</v>
      </c>
    </row>
    <row r="26" spans="1:4" ht="12.75">
      <c r="A26" s="1" t="s">
        <v>20</v>
      </c>
      <c r="B26" s="2">
        <v>68872</v>
      </c>
      <c r="C26" s="2">
        <v>31121</v>
      </c>
      <c r="D26" s="99">
        <f aca="true" t="shared" si="1" ref="D26:D46">C26/B26</f>
        <v>0.45186723196654666</v>
      </c>
    </row>
    <row r="27" spans="1:4" s="14" customFormat="1" ht="12.75">
      <c r="A27" s="14" t="s">
        <v>170</v>
      </c>
      <c r="B27" s="15">
        <v>215</v>
      </c>
      <c r="C27" s="15">
        <v>212</v>
      </c>
      <c r="D27" s="99">
        <f t="shared" si="1"/>
        <v>0.986046511627907</v>
      </c>
    </row>
    <row r="28" spans="1:4" ht="12.75">
      <c r="A28" s="1" t="s">
        <v>195</v>
      </c>
      <c r="B28" s="2">
        <v>35465</v>
      </c>
      <c r="C28" s="2">
        <v>21405</v>
      </c>
      <c r="D28" s="99">
        <f t="shared" si="1"/>
        <v>0.6035527985337656</v>
      </c>
    </row>
    <row r="29" spans="1:4" s="14" customFormat="1" ht="12.75">
      <c r="A29" s="14" t="s">
        <v>196</v>
      </c>
      <c r="B29" s="15">
        <v>0</v>
      </c>
      <c r="C29" s="15">
        <v>0</v>
      </c>
      <c r="D29" s="99"/>
    </row>
    <row r="30" spans="1:4" s="14" customFormat="1" ht="12.75">
      <c r="A30" s="14" t="s">
        <v>262</v>
      </c>
      <c r="B30" s="15"/>
      <c r="C30" s="15">
        <v>1746</v>
      </c>
      <c r="D30" s="99"/>
    </row>
    <row r="31" spans="1:4" s="3" customFormat="1" ht="12.75">
      <c r="A31" s="3" t="s">
        <v>152</v>
      </c>
      <c r="B31" s="52">
        <f>B26+B28</f>
        <v>104337</v>
      </c>
      <c r="C31" s="52">
        <f>C26+C28</f>
        <v>52526</v>
      </c>
      <c r="D31" s="99">
        <f t="shared" si="1"/>
        <v>0.5034263971553715</v>
      </c>
    </row>
    <row r="32" spans="1:4" s="3" customFormat="1" ht="12.75">
      <c r="A32" s="3" t="s">
        <v>157</v>
      </c>
      <c r="B32" s="52">
        <v>0</v>
      </c>
      <c r="C32" s="52"/>
      <c r="D32" s="99"/>
    </row>
    <row r="33" spans="1:4" ht="12.75">
      <c r="A33" s="1" t="s">
        <v>171</v>
      </c>
      <c r="D33" s="99"/>
    </row>
    <row r="34" spans="1:4" ht="12.75">
      <c r="A34" s="1" t="s">
        <v>172</v>
      </c>
      <c r="B34" s="2">
        <v>80305</v>
      </c>
      <c r="C34" s="2">
        <v>40152</v>
      </c>
      <c r="D34" s="99">
        <f t="shared" si="1"/>
        <v>0.4999937737376253</v>
      </c>
    </row>
    <row r="35" spans="1:4" ht="12.75">
      <c r="A35" s="1" t="s">
        <v>261</v>
      </c>
      <c r="C35" s="2">
        <v>1470</v>
      </c>
      <c r="D35" s="99"/>
    </row>
    <row r="36" spans="1:4" s="3" customFormat="1" ht="12.75">
      <c r="A36" s="3" t="s">
        <v>173</v>
      </c>
      <c r="B36" s="52">
        <f>SUM(B34:B35)</f>
        <v>80305</v>
      </c>
      <c r="C36" s="52">
        <f>SUM(C34:C35)</f>
        <v>41622</v>
      </c>
      <c r="D36" s="99">
        <f t="shared" si="1"/>
        <v>0.5182989851192329</v>
      </c>
    </row>
    <row r="37" spans="1:4" ht="12.75">
      <c r="A37" s="1" t="s">
        <v>174</v>
      </c>
      <c r="B37" s="2">
        <v>0</v>
      </c>
      <c r="D37" s="99"/>
    </row>
    <row r="38" spans="1:4" s="3" customFormat="1" ht="12.75">
      <c r="A38" s="3" t="s">
        <v>175</v>
      </c>
      <c r="B38" s="52">
        <f>SUM(B37)</f>
        <v>0</v>
      </c>
      <c r="C38" s="52"/>
      <c r="D38" s="99"/>
    </row>
    <row r="39" spans="1:4" s="4" customFormat="1" ht="12.75">
      <c r="A39" s="4" t="s">
        <v>176</v>
      </c>
      <c r="B39" s="53">
        <f>B31+B32+B36+B38</f>
        <v>184642</v>
      </c>
      <c r="C39" s="53">
        <f>C31+C32+C36+C38</f>
        <v>94148</v>
      </c>
      <c r="D39" s="99">
        <f t="shared" si="1"/>
        <v>0.5098948234962792</v>
      </c>
    </row>
    <row r="40" spans="1:4" s="3" customFormat="1" ht="12.75">
      <c r="A40" s="3" t="s">
        <v>177</v>
      </c>
      <c r="B40" s="52">
        <v>0</v>
      </c>
      <c r="C40" s="52"/>
      <c r="D40" s="99"/>
    </row>
    <row r="41" spans="1:4" s="3" customFormat="1" ht="12.75">
      <c r="A41" s="3" t="s">
        <v>178</v>
      </c>
      <c r="B41" s="52">
        <f>SUM(B39:B40)</f>
        <v>184642</v>
      </c>
      <c r="C41" s="52">
        <f>SUM(C39:C40)</f>
        <v>94148</v>
      </c>
      <c r="D41" s="99">
        <f t="shared" si="1"/>
        <v>0.5098948234962792</v>
      </c>
    </row>
    <row r="42" spans="1:4" ht="12.75">
      <c r="A42" s="1" t="s">
        <v>179</v>
      </c>
      <c r="D42" s="99"/>
    </row>
    <row r="43" spans="1:4" ht="12.75">
      <c r="A43" s="1" t="s">
        <v>197</v>
      </c>
      <c r="B43" s="2">
        <v>29826</v>
      </c>
      <c r="C43" s="2">
        <v>24165</v>
      </c>
      <c r="D43" s="99">
        <f t="shared" si="1"/>
        <v>0.8101991550995775</v>
      </c>
    </row>
    <row r="44" spans="1:4" s="4" customFormat="1" ht="12.75">
      <c r="A44" s="4" t="s">
        <v>198</v>
      </c>
      <c r="B44" s="53">
        <f>SUM(B43)</f>
        <v>29826</v>
      </c>
      <c r="C44" s="53">
        <f>SUM(C43)</f>
        <v>24165</v>
      </c>
      <c r="D44" s="99">
        <f t="shared" si="1"/>
        <v>0.8101991550995775</v>
      </c>
    </row>
    <row r="45" spans="1:4" ht="12.75">
      <c r="A45" s="1" t="s">
        <v>180</v>
      </c>
      <c r="B45" s="2">
        <v>0</v>
      </c>
      <c r="C45" s="2">
        <v>1699</v>
      </c>
      <c r="D45" s="99"/>
    </row>
    <row r="46" spans="1:4" ht="13.5">
      <c r="A46" s="54" t="s">
        <v>181</v>
      </c>
      <c r="B46" s="55">
        <f>B41+B44+B45</f>
        <v>214468</v>
      </c>
      <c r="C46" s="55">
        <f>C41+C44+C45</f>
        <v>120012</v>
      </c>
      <c r="D46" s="99">
        <f t="shared" si="1"/>
        <v>0.5595799839603111</v>
      </c>
    </row>
    <row r="47" spans="1:4" ht="12.75">
      <c r="A47" s="1" t="s">
        <v>182</v>
      </c>
      <c r="B47" s="2">
        <f>B39-B13</f>
        <v>-23889</v>
      </c>
      <c r="C47" s="2">
        <f>C39-C13</f>
        <v>-19099</v>
      </c>
      <c r="D47" s="2"/>
    </row>
    <row r="48" spans="1:2" ht="12.75">
      <c r="A48" s="1" t="s">
        <v>183</v>
      </c>
      <c r="B48" s="2">
        <v>23889</v>
      </c>
    </row>
    <row r="49" ht="12.75">
      <c r="A49" s="1" t="s">
        <v>184</v>
      </c>
    </row>
    <row r="50" spans="1:4" ht="12.75">
      <c r="A50" s="1" t="s">
        <v>185</v>
      </c>
      <c r="B50" s="2">
        <f>B47+B43-B19</f>
        <v>0</v>
      </c>
      <c r="C50" s="2">
        <f>C47+C43-C19</f>
        <v>5066</v>
      </c>
      <c r="D50" s="100"/>
    </row>
    <row r="51" spans="1:4" ht="12.75">
      <c r="A51" s="1" t="s">
        <v>186</v>
      </c>
      <c r="B51" s="2">
        <f>B40-B14</f>
        <v>0</v>
      </c>
      <c r="C51" s="2">
        <f>C40-C14</f>
        <v>0</v>
      </c>
      <c r="D51" s="2"/>
    </row>
    <row r="52" spans="1:4" ht="12.75">
      <c r="A52" s="1" t="s">
        <v>187</v>
      </c>
      <c r="B52" s="2">
        <f>B45-B20</f>
        <v>0</v>
      </c>
      <c r="C52" s="2">
        <f>C45-C20</f>
        <v>-5400</v>
      </c>
      <c r="D52" s="2"/>
    </row>
  </sheetData>
  <sheetProtection/>
  <mergeCells count="3">
    <mergeCell ref="B1:B3"/>
    <mergeCell ref="C1:C3"/>
    <mergeCell ref="D1:D3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1"/>
  <headerFooter alignWithMargins="0">
    <oddHeader>&amp;L&amp;P&amp;C&amp;"Times New Roman,Félkövér dőlt"
Polgári Kistérség Többcélú Társulása, és intézménye 2013.évi összevont költségvetési mérlege&amp;R&amp;"Times New Roman,Dőlt"4.számú melléklet&amp;"Arial,Normál"
&amp;"Times New Roman,Dőlt"&amp;8adatok ezer forintban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="120" zoomScaleNormal="120" zoomScalePageLayoutView="0" workbookViewId="0" topLeftCell="E1">
      <selection activeCell="Q17" sqref="Q17"/>
    </sheetView>
  </sheetViews>
  <sheetFormatPr defaultColWidth="9.140625" defaultRowHeight="12.75"/>
  <cols>
    <col min="1" max="1" width="27.00390625" style="17" customWidth="1"/>
    <col min="2" max="4" width="8.421875" style="16" bestFit="1" customWidth="1"/>
    <col min="5" max="14" width="8.57421875" style="16" bestFit="1" customWidth="1"/>
    <col min="15" max="15" width="9.57421875" style="16" bestFit="1" customWidth="1"/>
    <col min="16" max="16384" width="9.140625" style="17" customWidth="1"/>
  </cols>
  <sheetData>
    <row r="1" spans="1:15" ht="21.75" thickBot="1">
      <c r="A1" s="36" t="s">
        <v>117</v>
      </c>
      <c r="B1" s="37" t="s">
        <v>240</v>
      </c>
      <c r="C1" s="38" t="s">
        <v>118</v>
      </c>
      <c r="D1" s="38" t="s">
        <v>119</v>
      </c>
      <c r="E1" s="38" t="s">
        <v>120</v>
      </c>
      <c r="F1" s="38" t="s">
        <v>121</v>
      </c>
      <c r="G1" s="38" t="s">
        <v>122</v>
      </c>
      <c r="H1" s="38" t="s">
        <v>123</v>
      </c>
      <c r="I1" s="38" t="s">
        <v>124</v>
      </c>
      <c r="J1" s="38" t="s">
        <v>125</v>
      </c>
      <c r="K1" s="38" t="s">
        <v>126</v>
      </c>
      <c r="L1" s="38" t="s">
        <v>127</v>
      </c>
      <c r="M1" s="38" t="s">
        <v>128</v>
      </c>
      <c r="N1" s="38" t="s">
        <v>129</v>
      </c>
      <c r="O1" s="39" t="s">
        <v>130</v>
      </c>
    </row>
    <row r="2" spans="1:15" ht="11.25" thickTop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10.5">
      <c r="A3" s="20" t="s">
        <v>239</v>
      </c>
      <c r="B3" s="21"/>
      <c r="C3" s="21">
        <v>24685</v>
      </c>
      <c r="D3" s="21">
        <f>C33</f>
        <v>24687</v>
      </c>
      <c r="E3" s="21">
        <f aca="true" t="shared" si="0" ref="E3:N3">D33</f>
        <v>27626</v>
      </c>
      <c r="F3" s="21">
        <f t="shared" si="0"/>
        <v>27628</v>
      </c>
      <c r="G3" s="21">
        <f t="shared" si="0"/>
        <v>27630</v>
      </c>
      <c r="H3" s="21">
        <f t="shared" si="0"/>
        <v>28924</v>
      </c>
      <c r="I3" s="21">
        <f t="shared" si="0"/>
        <v>28926</v>
      </c>
      <c r="J3" s="21">
        <f t="shared" si="0"/>
        <v>28928</v>
      </c>
      <c r="K3" s="21">
        <f t="shared" si="0"/>
        <v>28930</v>
      </c>
      <c r="L3" s="21">
        <f t="shared" si="0"/>
        <v>28932</v>
      </c>
      <c r="M3" s="21">
        <f t="shared" si="0"/>
        <v>28934</v>
      </c>
      <c r="N3" s="21">
        <f t="shared" si="0"/>
        <v>28936</v>
      </c>
      <c r="O3" s="22"/>
    </row>
    <row r="4" spans="1:15" ht="10.5">
      <c r="A4" s="23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7" s="19" customFormat="1" ht="10.5">
      <c r="A5" s="24" t="s">
        <v>131</v>
      </c>
      <c r="B5" s="25">
        <v>68872</v>
      </c>
      <c r="C5" s="25">
        <f>ROUND(('1.tábla'!$AP66+'1.tábla'!$AP68)/12,0)</f>
        <v>5564</v>
      </c>
      <c r="D5" s="25">
        <f>ROUND(('1.tábla'!$AP66+'1.tábla'!$AP68)/12,0)</f>
        <v>5564</v>
      </c>
      <c r="E5" s="25">
        <f>ROUND(('1.tábla'!$AP66+'1.tábla'!$AP68)/12,0)+50</f>
        <v>5614</v>
      </c>
      <c r="F5" s="25">
        <f>ROUND(('1.tábla'!$AP66+'1.tábla'!$AP68)/12,0)</f>
        <v>5564</v>
      </c>
      <c r="G5" s="25">
        <f>ROUND(('1.tábla'!$AP66+'1.tábla'!$AP68)/12,0)+1895</f>
        <v>7459</v>
      </c>
      <c r="H5" s="25">
        <f>ROUND(('1.tábla'!$AP66+'1.tábla'!$AP68)/12,0)+50</f>
        <v>5614</v>
      </c>
      <c r="I5" s="25">
        <f>ROUND(('1.tábla'!$AP66+'1.tábla'!$AP68)/12,0)</f>
        <v>5564</v>
      </c>
      <c r="J5" s="25">
        <f>ROUND(('1.tábla'!$AP66+'1.tábla'!$AP68)/12,0)</f>
        <v>5564</v>
      </c>
      <c r="K5" s="25">
        <f>ROUND(('1.tábla'!$AP66+'1.tábla'!$AP68)/12,0)+51</f>
        <v>5615</v>
      </c>
      <c r="L5" s="25">
        <f>ROUND(('1.tábla'!$AP66+'1.tábla'!$AP68)/12,0)</f>
        <v>5564</v>
      </c>
      <c r="M5" s="25">
        <f>ROUND(('1.tábla'!$AP66+'1.tábla'!$AP68)/12,0)</f>
        <v>5564</v>
      </c>
      <c r="N5" s="25">
        <f>ROUND(('1.tábla'!$AP66+'1.tábla'!$AP68)/12,0)+58</f>
        <v>5622</v>
      </c>
      <c r="O5" s="22">
        <f>SUM(C5:N5)</f>
        <v>68872</v>
      </c>
      <c r="P5" s="17" t="str">
        <f aca="true" t="shared" si="1" ref="P5:P10">IF(O5-B5=0,"OK","JAVITSD!!!")</f>
        <v>OK</v>
      </c>
      <c r="Q5" s="69">
        <f aca="true" t="shared" si="2" ref="Q5:Q10">O5-B5</f>
        <v>0</v>
      </c>
    </row>
    <row r="6" spans="1:17" ht="10.5">
      <c r="A6" s="20" t="s">
        <v>140</v>
      </c>
      <c r="B6" s="21">
        <v>12018</v>
      </c>
      <c r="C6" s="21"/>
      <c r="D6" s="21">
        <f>ROUND(('1.tábla'!$AP71-3468)/4+3468,0)</f>
        <v>5606</v>
      </c>
      <c r="E6" s="21"/>
      <c r="F6" s="21"/>
      <c r="G6" s="21">
        <f>ROUND(('1.tábla'!$AP71-3468)/4,0)</f>
        <v>2138</v>
      </c>
      <c r="H6" s="21"/>
      <c r="I6" s="21"/>
      <c r="J6" s="21">
        <f>ROUND(('1.tábla'!$AP71-3468)/4,0)-1</f>
        <v>2137</v>
      </c>
      <c r="K6" s="21"/>
      <c r="L6" s="21"/>
      <c r="M6" s="21">
        <f>ROUND(('1.tábla'!$AP71-3468)/4,0)-1</f>
        <v>2137</v>
      </c>
      <c r="N6" s="21"/>
      <c r="O6" s="22">
        <f>SUM(C6:N6)</f>
        <v>12018</v>
      </c>
      <c r="P6" s="17" t="str">
        <f t="shared" si="1"/>
        <v>OK</v>
      </c>
      <c r="Q6" s="69">
        <f t="shared" si="2"/>
        <v>0</v>
      </c>
    </row>
    <row r="7" spans="1:17" ht="10.5">
      <c r="A7" s="20" t="s">
        <v>132</v>
      </c>
      <c r="B7" s="21">
        <f>'1.tábla'!AP72</f>
        <v>14793</v>
      </c>
      <c r="C7" s="21">
        <f>ROUND('1.tábla'!$AP72/12,0)</f>
        <v>1233</v>
      </c>
      <c r="D7" s="21">
        <f>ROUND('1.tábla'!$AP72/12,0)</f>
        <v>1233</v>
      </c>
      <c r="E7" s="21">
        <f>ROUND('1.tábla'!$AP72/12,0)</f>
        <v>1233</v>
      </c>
      <c r="F7" s="21">
        <f>ROUND('1.tábla'!$AP72/12,0)</f>
        <v>1233</v>
      </c>
      <c r="G7" s="21">
        <f>ROUND('1.tábla'!$AP72/12,0)</f>
        <v>1233</v>
      </c>
      <c r="H7" s="21">
        <f>ROUND('1.tábla'!$AP72/12,0)</f>
        <v>1233</v>
      </c>
      <c r="I7" s="21">
        <f>ROUND('1.tábla'!$AP72/12,0)</f>
        <v>1233</v>
      </c>
      <c r="J7" s="21">
        <f>ROUND('1.tábla'!$AP72/12,0)-1</f>
        <v>1232</v>
      </c>
      <c r="K7" s="21">
        <f>ROUND('1.tábla'!$AP72/12,0)-1</f>
        <v>1232</v>
      </c>
      <c r="L7" s="21">
        <f>ROUND('1.tábla'!$AP72/12,0)-1</f>
        <v>1232</v>
      </c>
      <c r="M7" s="21">
        <f>ROUND('1.tábla'!$AP72/12,0)</f>
        <v>1233</v>
      </c>
      <c r="N7" s="21">
        <f>ROUND('1.tábla'!$AP72/12,0)</f>
        <v>1233</v>
      </c>
      <c r="O7" s="22">
        <f>SUM(C7:N7)</f>
        <v>14793</v>
      </c>
      <c r="P7" s="17" t="str">
        <f t="shared" si="1"/>
        <v>OK</v>
      </c>
      <c r="Q7" s="69">
        <f t="shared" si="2"/>
        <v>0</v>
      </c>
    </row>
    <row r="8" spans="1:17" ht="10.5">
      <c r="A8" s="20" t="s">
        <v>141</v>
      </c>
      <c r="B8" s="21">
        <f>'1.tábla'!AP74+'1.tábla'!AP75</f>
        <v>8654</v>
      </c>
      <c r="C8" s="21">
        <f>ROUND(('1.tábla'!$AP74+'1.tábla'!$AP75)/12,0)</f>
        <v>721</v>
      </c>
      <c r="D8" s="21">
        <f>ROUND(('1.tábla'!$AP74+'1.tábla'!$AP75)/12,0)</f>
        <v>721</v>
      </c>
      <c r="E8" s="21">
        <f>ROUND(('1.tábla'!$AP74+'1.tábla'!$AP75)/12,0)</f>
        <v>721</v>
      </c>
      <c r="F8" s="21">
        <f>ROUND(('1.tábla'!$AP74+'1.tábla'!$AP75)/12,0)</f>
        <v>721</v>
      </c>
      <c r="G8" s="21">
        <f>ROUND(('1.tábla'!$AP74+'1.tábla'!$AP75)/12,0)+2</f>
        <v>723</v>
      </c>
      <c r="H8" s="21">
        <f>ROUND(('1.tábla'!$AP74+'1.tábla'!$AP75)/12,0)</f>
        <v>721</v>
      </c>
      <c r="I8" s="21">
        <f>ROUND(('1.tábla'!$AP74+'1.tábla'!$AP75)/12,0)</f>
        <v>721</v>
      </c>
      <c r="J8" s="21">
        <f>ROUND(('1.tábla'!$AP74+'1.tábla'!$AP75)/12,0)</f>
        <v>721</v>
      </c>
      <c r="K8" s="21">
        <f>ROUND(('1.tábla'!$AP74+'1.tábla'!$AP75)/12,0)</f>
        <v>721</v>
      </c>
      <c r="L8" s="21">
        <f>ROUND(('1.tábla'!$AP74+'1.tábla'!$AP75)/12,0)</f>
        <v>721</v>
      </c>
      <c r="M8" s="21">
        <f>ROUND(('1.tábla'!$AP74+'1.tábla'!$AP75)/12,0)</f>
        <v>721</v>
      </c>
      <c r="N8" s="21">
        <f>ROUND(('1.tábla'!$AP74+'1.tábla'!$AP75)/12,0)</f>
        <v>721</v>
      </c>
      <c r="O8" s="22">
        <f>SUM(C8:N8)</f>
        <v>8654</v>
      </c>
      <c r="P8" s="17" t="str">
        <f t="shared" si="1"/>
        <v>OK</v>
      </c>
      <c r="Q8" s="69">
        <f t="shared" si="2"/>
        <v>0</v>
      </c>
    </row>
    <row r="9" spans="1:17" s="19" customFormat="1" ht="10.5">
      <c r="A9" s="24" t="s">
        <v>133</v>
      </c>
      <c r="B9" s="25">
        <f>SUM(B6:B8)</f>
        <v>35465</v>
      </c>
      <c r="C9" s="25">
        <f>SUM(C6:C8)</f>
        <v>1954</v>
      </c>
      <c r="D9" s="25">
        <f aca="true" t="shared" si="3" ref="D9:O9">SUM(D6:D8)</f>
        <v>7560</v>
      </c>
      <c r="E9" s="25">
        <f t="shared" si="3"/>
        <v>1954</v>
      </c>
      <c r="F9" s="25">
        <f t="shared" si="3"/>
        <v>1954</v>
      </c>
      <c r="G9" s="25">
        <f t="shared" si="3"/>
        <v>4094</v>
      </c>
      <c r="H9" s="25">
        <f t="shared" si="3"/>
        <v>1954</v>
      </c>
      <c r="I9" s="25">
        <f t="shared" si="3"/>
        <v>1954</v>
      </c>
      <c r="J9" s="25">
        <f t="shared" si="3"/>
        <v>4090</v>
      </c>
      <c r="K9" s="25">
        <f t="shared" si="3"/>
        <v>1953</v>
      </c>
      <c r="L9" s="25">
        <f t="shared" si="3"/>
        <v>1953</v>
      </c>
      <c r="M9" s="25">
        <f t="shared" si="3"/>
        <v>4091</v>
      </c>
      <c r="N9" s="25">
        <f t="shared" si="3"/>
        <v>1954</v>
      </c>
      <c r="O9" s="26">
        <f t="shared" si="3"/>
        <v>35465</v>
      </c>
      <c r="P9" s="17" t="str">
        <f t="shared" si="1"/>
        <v>OK</v>
      </c>
      <c r="Q9" s="69">
        <f t="shared" si="2"/>
        <v>0</v>
      </c>
    </row>
    <row r="10" spans="1:17" s="19" customFormat="1" ht="10.5">
      <c r="A10" s="24" t="s">
        <v>152</v>
      </c>
      <c r="B10" s="25">
        <f>B5+B9</f>
        <v>104337</v>
      </c>
      <c r="C10" s="25">
        <f>C5+C9</f>
        <v>7518</v>
      </c>
      <c r="D10" s="25">
        <f aca="true" t="shared" si="4" ref="D10:O10">D5+D9</f>
        <v>13124</v>
      </c>
      <c r="E10" s="25">
        <f t="shared" si="4"/>
        <v>7568</v>
      </c>
      <c r="F10" s="25">
        <f t="shared" si="4"/>
        <v>7518</v>
      </c>
      <c r="G10" s="25">
        <f t="shared" si="4"/>
        <v>11553</v>
      </c>
      <c r="H10" s="25">
        <f t="shared" si="4"/>
        <v>7568</v>
      </c>
      <c r="I10" s="25">
        <f t="shared" si="4"/>
        <v>7518</v>
      </c>
      <c r="J10" s="25">
        <f t="shared" si="4"/>
        <v>9654</v>
      </c>
      <c r="K10" s="25">
        <f t="shared" si="4"/>
        <v>7568</v>
      </c>
      <c r="L10" s="25">
        <f t="shared" si="4"/>
        <v>7517</v>
      </c>
      <c r="M10" s="25">
        <f t="shared" si="4"/>
        <v>9655</v>
      </c>
      <c r="N10" s="25">
        <f t="shared" si="4"/>
        <v>7576</v>
      </c>
      <c r="O10" s="26">
        <f t="shared" si="4"/>
        <v>104337</v>
      </c>
      <c r="P10" s="17" t="str">
        <f t="shared" si="1"/>
        <v>OK</v>
      </c>
      <c r="Q10" s="69">
        <f t="shared" si="2"/>
        <v>0</v>
      </c>
    </row>
    <row r="11" spans="1:15" ht="10.5">
      <c r="A11" s="20" t="s">
        <v>134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7" ht="10.5">
      <c r="A12" s="20" t="s">
        <v>135</v>
      </c>
      <c r="B12" s="21">
        <f>'1.tábla'!AP80</f>
        <v>62675</v>
      </c>
      <c r="C12" s="21">
        <f>ROUND('1.tábla'!$AP80*12.7%,0)</f>
        <v>7960</v>
      </c>
      <c r="D12" s="21">
        <f>ROUND('1.tábla'!$AP80*8.2%,0)</f>
        <v>5139</v>
      </c>
      <c r="E12" s="21">
        <f>ROUND('1.tábla'!$AP80*7.6%,0)</f>
        <v>4763</v>
      </c>
      <c r="F12" s="21">
        <f>ROUND('1.tábla'!$AP80*8.1%,0)</f>
        <v>5077</v>
      </c>
      <c r="G12" s="21">
        <f>ROUND('1.tábla'!$AP80*8.1%,0)</f>
        <v>5077</v>
      </c>
      <c r="H12" s="21">
        <f>ROUND('1.tábla'!$AP80*7.6%,0)</f>
        <v>4763</v>
      </c>
      <c r="I12" s="21">
        <f>ROUND('1.tábla'!$AP80*7.6%,0)</f>
        <v>4763</v>
      </c>
      <c r="J12" s="21">
        <f>ROUND('1.tábla'!$AP80*8.2%,0)</f>
        <v>5139</v>
      </c>
      <c r="K12" s="21">
        <f>ROUND('1.tábla'!$AP80*7.6%,0)</f>
        <v>4763</v>
      </c>
      <c r="L12" s="21">
        <f>ROUND('1.tábla'!$AP80*8.1%,0)</f>
        <v>5077</v>
      </c>
      <c r="M12" s="21">
        <f>ROUND('1.tábla'!$AP80*8.7%,0)</f>
        <v>5453</v>
      </c>
      <c r="N12" s="21">
        <f>ROUND('1.tábla'!$AP80*7.5%,0)</f>
        <v>4701</v>
      </c>
      <c r="O12" s="22">
        <f>SUM(C12:N12)</f>
        <v>62675</v>
      </c>
      <c r="P12" s="17" t="str">
        <f>IF(O12-B12=0,"OK","JAVITSD!!!")</f>
        <v>OK</v>
      </c>
      <c r="Q12" s="67"/>
    </row>
    <row r="13" spans="1:17" ht="10.5">
      <c r="A13" s="20" t="s">
        <v>241</v>
      </c>
      <c r="B13" s="21">
        <f>'1.tábla'!AP81</f>
        <v>17630</v>
      </c>
      <c r="C13" s="21">
        <f>ROUND('1.tábla'!$AP81*12.7%,0)</f>
        <v>2239</v>
      </c>
      <c r="D13" s="21">
        <f>ROUND('1.tábla'!$AP81*8.2%,0)</f>
        <v>1446</v>
      </c>
      <c r="E13" s="21">
        <f>ROUND('1.tábla'!$AP81*7.6%,0)</f>
        <v>1340</v>
      </c>
      <c r="F13" s="21">
        <f>ROUND('1.tábla'!$AP81*8.1%,0)</f>
        <v>1428</v>
      </c>
      <c r="G13" s="21">
        <f>ROUND('1.tábla'!$AP81*8.1%,0)</f>
        <v>1428</v>
      </c>
      <c r="H13" s="21">
        <f>ROUND('1.tábla'!$AP81*7.6%,0)</f>
        <v>1340</v>
      </c>
      <c r="I13" s="21">
        <f>ROUND('1.tábla'!$AP81*7.6%,0)</f>
        <v>1340</v>
      </c>
      <c r="J13" s="21">
        <f>ROUND('1.tábla'!$AP81*8.2%,0)-1</f>
        <v>1445</v>
      </c>
      <c r="K13" s="21">
        <f>ROUND('1.tábla'!$AP81*7.6%,0)</f>
        <v>1340</v>
      </c>
      <c r="L13" s="21">
        <f>ROUND('1.tábla'!$AP81*8.1%,0)</f>
        <v>1428</v>
      </c>
      <c r="M13" s="21">
        <f>ROUND('1.tábla'!$AP81*8.7%,0)</f>
        <v>1534</v>
      </c>
      <c r="N13" s="21">
        <f>ROUND('1.tábla'!$AP81*7.5%,0)</f>
        <v>1322</v>
      </c>
      <c r="O13" s="22">
        <f>SUM(C13:N13)</f>
        <v>17630</v>
      </c>
      <c r="P13" s="17" t="str">
        <f aca="true" t="shared" si="5" ref="P13:P18">IF(O13-B13=0,"OK","JAVITSD!!!")</f>
        <v>OK</v>
      </c>
      <c r="Q13" s="67"/>
    </row>
    <row r="14" spans="1:16" s="19" customFormat="1" ht="10.5">
      <c r="A14" s="24" t="s">
        <v>136</v>
      </c>
      <c r="B14" s="25">
        <f aca="true" t="shared" si="6" ref="B14:O14">SUM(B12:B13)</f>
        <v>80305</v>
      </c>
      <c r="C14" s="25">
        <f t="shared" si="6"/>
        <v>10199</v>
      </c>
      <c r="D14" s="25">
        <f t="shared" si="6"/>
        <v>6585</v>
      </c>
      <c r="E14" s="25">
        <f t="shared" si="6"/>
        <v>6103</v>
      </c>
      <c r="F14" s="25">
        <f t="shared" si="6"/>
        <v>6505</v>
      </c>
      <c r="G14" s="25">
        <f t="shared" si="6"/>
        <v>6505</v>
      </c>
      <c r="H14" s="25">
        <f t="shared" si="6"/>
        <v>6103</v>
      </c>
      <c r="I14" s="25">
        <f t="shared" si="6"/>
        <v>6103</v>
      </c>
      <c r="J14" s="25">
        <f t="shared" si="6"/>
        <v>6584</v>
      </c>
      <c r="K14" s="25">
        <f t="shared" si="6"/>
        <v>6103</v>
      </c>
      <c r="L14" s="25">
        <f t="shared" si="6"/>
        <v>6505</v>
      </c>
      <c r="M14" s="25">
        <f t="shared" si="6"/>
        <v>6987</v>
      </c>
      <c r="N14" s="25">
        <f t="shared" si="6"/>
        <v>6023</v>
      </c>
      <c r="O14" s="26">
        <f t="shared" si="6"/>
        <v>80305</v>
      </c>
      <c r="P14" s="17" t="str">
        <f t="shared" si="5"/>
        <v>OK</v>
      </c>
    </row>
    <row r="15" spans="1:16" s="18" customFormat="1" ht="10.5">
      <c r="A15" s="23" t="s">
        <v>137</v>
      </c>
      <c r="B15" s="27">
        <f>B10+B14</f>
        <v>184642</v>
      </c>
      <c r="C15" s="27">
        <f aca="true" t="shared" si="7" ref="C15:O15">C10+C14</f>
        <v>17717</v>
      </c>
      <c r="D15" s="27">
        <f t="shared" si="7"/>
        <v>19709</v>
      </c>
      <c r="E15" s="27">
        <f t="shared" si="7"/>
        <v>13671</v>
      </c>
      <c r="F15" s="27">
        <f t="shared" si="7"/>
        <v>14023</v>
      </c>
      <c r="G15" s="27">
        <f t="shared" si="7"/>
        <v>18058</v>
      </c>
      <c r="H15" s="27">
        <f t="shared" si="7"/>
        <v>13671</v>
      </c>
      <c r="I15" s="27">
        <f t="shared" si="7"/>
        <v>13621</v>
      </c>
      <c r="J15" s="27">
        <f t="shared" si="7"/>
        <v>16238</v>
      </c>
      <c r="K15" s="27">
        <f t="shared" si="7"/>
        <v>13671</v>
      </c>
      <c r="L15" s="27">
        <f t="shared" si="7"/>
        <v>14022</v>
      </c>
      <c r="M15" s="27">
        <f t="shared" si="7"/>
        <v>16642</v>
      </c>
      <c r="N15" s="27">
        <f t="shared" si="7"/>
        <v>13599</v>
      </c>
      <c r="O15" s="28">
        <f t="shared" si="7"/>
        <v>184642</v>
      </c>
      <c r="P15" s="17" t="str">
        <f t="shared" si="5"/>
        <v>OK</v>
      </c>
    </row>
    <row r="16" spans="1:16" ht="10.5">
      <c r="A16" s="20" t="s">
        <v>138</v>
      </c>
      <c r="B16" s="21">
        <v>29826</v>
      </c>
      <c r="C16" s="21">
        <v>6500</v>
      </c>
      <c r="D16" s="21"/>
      <c r="E16" s="21">
        <v>3061</v>
      </c>
      <c r="F16" s="21">
        <v>2743</v>
      </c>
      <c r="G16" s="21"/>
      <c r="H16" s="21">
        <v>3065</v>
      </c>
      <c r="I16" s="21">
        <v>3115</v>
      </c>
      <c r="J16" s="21">
        <v>534</v>
      </c>
      <c r="K16" s="21">
        <v>3065</v>
      </c>
      <c r="L16" s="21">
        <v>2744</v>
      </c>
      <c r="M16" s="21">
        <v>160</v>
      </c>
      <c r="N16" s="21">
        <v>3131</v>
      </c>
      <c r="O16" s="22">
        <f>SUM(C16:N16)</f>
        <v>28118</v>
      </c>
      <c r="P16" s="17" t="str">
        <f t="shared" si="5"/>
        <v>JAVITSD!!!</v>
      </c>
    </row>
    <row r="17" spans="1:16" ht="10.5">
      <c r="A17" s="20" t="s">
        <v>148</v>
      </c>
      <c r="B17" s="21"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>
        <f>SUM(C17:N17)</f>
        <v>0</v>
      </c>
      <c r="P17" s="17" t="str">
        <f t="shared" si="5"/>
        <v>OK</v>
      </c>
    </row>
    <row r="18" spans="1:16" s="18" customFormat="1" ht="10.5">
      <c r="A18" s="23" t="s">
        <v>139</v>
      </c>
      <c r="B18" s="27">
        <f>B15+B16+B17</f>
        <v>214468</v>
      </c>
      <c r="C18" s="27">
        <f aca="true" t="shared" si="8" ref="C18:O18">C15+C16+C17</f>
        <v>24217</v>
      </c>
      <c r="D18" s="27">
        <f t="shared" si="8"/>
        <v>19709</v>
      </c>
      <c r="E18" s="27">
        <f t="shared" si="8"/>
        <v>16732</v>
      </c>
      <c r="F18" s="27">
        <f t="shared" si="8"/>
        <v>16766</v>
      </c>
      <c r="G18" s="27">
        <f t="shared" si="8"/>
        <v>18058</v>
      </c>
      <c r="H18" s="27">
        <f t="shared" si="8"/>
        <v>16736</v>
      </c>
      <c r="I18" s="27">
        <f t="shared" si="8"/>
        <v>16736</v>
      </c>
      <c r="J18" s="27">
        <f t="shared" si="8"/>
        <v>16772</v>
      </c>
      <c r="K18" s="27">
        <f t="shared" si="8"/>
        <v>16736</v>
      </c>
      <c r="L18" s="27">
        <f t="shared" si="8"/>
        <v>16766</v>
      </c>
      <c r="M18" s="27">
        <f t="shared" si="8"/>
        <v>16802</v>
      </c>
      <c r="N18" s="27">
        <f t="shared" si="8"/>
        <v>16730</v>
      </c>
      <c r="O18" s="28">
        <f t="shared" si="8"/>
        <v>212760</v>
      </c>
      <c r="P18" s="17" t="str">
        <f t="shared" si="5"/>
        <v>JAVITSD!!!</v>
      </c>
    </row>
    <row r="19" spans="1:15" ht="10.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0.5">
      <c r="A20" s="23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7" ht="10.5">
      <c r="A21" s="20" t="s">
        <v>142</v>
      </c>
      <c r="B21" s="21">
        <f>'1.tábla'!AP30</f>
        <v>77713</v>
      </c>
      <c r="C21" s="21">
        <f>ROUND(('1.tábla'!$AP30-'1.tábla'!$D30)/12,0)+'1.tábla'!D30+5</f>
        <v>11636</v>
      </c>
      <c r="D21" s="21">
        <f>ROUND(('1.tábla'!$AP30-'1.tábla'!$D30)/12,0)</f>
        <v>6007</v>
      </c>
      <c r="E21" s="21">
        <f>ROUND(('1.tábla'!$AP30-'1.tábla'!$D30)/12,0)</f>
        <v>6007</v>
      </c>
      <c r="F21" s="21">
        <f>ROUND(('1.tábla'!$AP30-'1.tábla'!$D30)/12,0)</f>
        <v>6007</v>
      </c>
      <c r="G21" s="21">
        <f>ROUND(('1.tábla'!$AP30-'1.tábla'!$D30)/12,0)</f>
        <v>6007</v>
      </c>
      <c r="H21" s="21">
        <f>ROUND(('1.tábla'!$AP30-'1.tábla'!$D30)/12,0)</f>
        <v>6007</v>
      </c>
      <c r="I21" s="21">
        <f>ROUND(('1.tábla'!$AP30-'1.tábla'!$D30)/12,0)</f>
        <v>6007</v>
      </c>
      <c r="J21" s="21">
        <f>ROUND(('1.tábla'!$AP30-'1.tábla'!$D30)/12,0)</f>
        <v>6007</v>
      </c>
      <c r="K21" s="21">
        <f>ROUND(('1.tábla'!$AP30-'1.tábla'!$D30)/12,0)</f>
        <v>6007</v>
      </c>
      <c r="L21" s="21">
        <f>ROUND(('1.tábla'!$AP30-'1.tábla'!$D30)/12,0)</f>
        <v>6007</v>
      </c>
      <c r="M21" s="21">
        <f>ROUND(('1.tábla'!$AP30-'1.tábla'!$D30)/12,0)</f>
        <v>6007</v>
      </c>
      <c r="N21" s="21">
        <f>ROUND(('1.tábla'!$AP30-'1.tábla'!$D30)/12,0)</f>
        <v>6007</v>
      </c>
      <c r="O21" s="22">
        <f aca="true" t="shared" si="9" ref="O21:O28">SUM(C21:N21)</f>
        <v>77713</v>
      </c>
      <c r="P21" s="17" t="str">
        <f aca="true" t="shared" si="10" ref="P21:P28">IF(O21-B21=0,"OK","JAVITSD!!!")</f>
        <v>OK</v>
      </c>
      <c r="Q21" s="69">
        <f aca="true" t="shared" si="11" ref="Q21:Q28">O21-B21</f>
        <v>0</v>
      </c>
    </row>
    <row r="22" spans="1:17" ht="10.5">
      <c r="A22" s="20" t="s">
        <v>143</v>
      </c>
      <c r="B22" s="21">
        <f>'1.tábla'!AP35</f>
        <v>19654</v>
      </c>
      <c r="C22" s="21">
        <f>ROUND(('1.tábla'!$AP35-'1.tábla'!$D35)/12,0)+'1.tábla'!D35+4</f>
        <v>3055</v>
      </c>
      <c r="D22" s="21">
        <f>ROUND(('1.tábla'!$AP35-'1.tábla'!$D35)/12,0)</f>
        <v>1509</v>
      </c>
      <c r="E22" s="21">
        <f>ROUND(('1.tábla'!$AP35-'1.tábla'!$D35)/12,0)</f>
        <v>1509</v>
      </c>
      <c r="F22" s="21">
        <f>ROUND(('1.tábla'!$AP35-'1.tábla'!$D35)/12,0)</f>
        <v>1509</v>
      </c>
      <c r="G22" s="21">
        <f>ROUND(('1.tábla'!$AP35-'1.tábla'!$D35)/12,0)</f>
        <v>1509</v>
      </c>
      <c r="H22" s="21">
        <f>ROUND(('1.tábla'!$AP35-'1.tábla'!$D35)/12,0)</f>
        <v>1509</v>
      </c>
      <c r="I22" s="21">
        <f>ROUND(('1.tábla'!$AP35-'1.tábla'!$D35)/12,0)</f>
        <v>1509</v>
      </c>
      <c r="J22" s="21">
        <f>ROUND(('1.tábla'!$AP35-'1.tábla'!$D35)/12,0)</f>
        <v>1509</v>
      </c>
      <c r="K22" s="21">
        <f>ROUND(('1.tábla'!$AP35-'1.tábla'!$D35)/12,0)</f>
        <v>1509</v>
      </c>
      <c r="L22" s="21">
        <f>ROUND(('1.tábla'!$AP35-'1.tábla'!$D35)/12,0)</f>
        <v>1509</v>
      </c>
      <c r="M22" s="21">
        <f>ROUND(('1.tábla'!$AP35-'1.tábla'!$D35)/12,0)</f>
        <v>1509</v>
      </c>
      <c r="N22" s="21">
        <f>ROUND(('1.tábla'!$AP35-'1.tábla'!$D35)/12,0)</f>
        <v>1509</v>
      </c>
      <c r="O22" s="22">
        <f t="shared" si="9"/>
        <v>19654</v>
      </c>
      <c r="P22" s="17" t="str">
        <f t="shared" si="10"/>
        <v>OK</v>
      </c>
      <c r="Q22" s="69">
        <f t="shared" si="11"/>
        <v>0</v>
      </c>
    </row>
    <row r="23" spans="1:17" ht="10.5">
      <c r="A23" s="20" t="s">
        <v>144</v>
      </c>
      <c r="B23" s="21">
        <f>'1.tábla'!AP47+'1.tábla'!AP56</f>
        <v>105148</v>
      </c>
      <c r="C23" s="21">
        <f>ROUND(('1.tábla'!$AP47+'1.tábla'!$AP56)/12,0)</f>
        <v>8762</v>
      </c>
      <c r="D23" s="21">
        <f>ROUND(('1.tábla'!$AP47+'1.tábla'!$AP56)/12,0)</f>
        <v>8762</v>
      </c>
      <c r="E23" s="21">
        <f>ROUND(('1.tábla'!$AP47+'1.tábla'!$AP56)/12,0)-4</f>
        <v>8758</v>
      </c>
      <c r="F23" s="21">
        <f>ROUND(('1.tábla'!$AP47+'1.tábla'!$AP56)/12,0)</f>
        <v>8762</v>
      </c>
      <c r="G23" s="21">
        <f>ROUND(('1.tábla'!$AP47+'1.tábla'!$AP56)/12,0)</f>
        <v>8762</v>
      </c>
      <c r="H23" s="21">
        <f>ROUND(('1.tábla'!$AP47+'1.tábla'!$AP56)/12,0)</f>
        <v>8762</v>
      </c>
      <c r="I23" s="21">
        <f>ROUND(('1.tábla'!$AP47+'1.tábla'!$AP56)/12,0)</f>
        <v>8762</v>
      </c>
      <c r="J23" s="21">
        <f>ROUND(('1.tábla'!$AP47+'1.tábla'!$AP56)/12,0)</f>
        <v>8762</v>
      </c>
      <c r="K23" s="21">
        <f>ROUND(('1.tábla'!$AP47+'1.tábla'!$AP56)/12,0)</f>
        <v>8762</v>
      </c>
      <c r="L23" s="21">
        <f>ROUND(('1.tábla'!$AP47+'1.tábla'!$AP56)/12,0)</f>
        <v>8762</v>
      </c>
      <c r="M23" s="21">
        <f>ROUND(('1.tábla'!$AP47+'1.tábla'!$AP56)/12,0)</f>
        <v>8762</v>
      </c>
      <c r="N23" s="21">
        <f>ROUND(('1.tábla'!$AP47+'1.tábla'!$AP56)/12,0)</f>
        <v>8762</v>
      </c>
      <c r="O23" s="22">
        <f t="shared" si="9"/>
        <v>105140</v>
      </c>
      <c r="P23" s="17" t="str">
        <f t="shared" si="10"/>
        <v>JAVITSD!!!</v>
      </c>
      <c r="Q23" s="69">
        <f t="shared" si="11"/>
        <v>-8</v>
      </c>
    </row>
    <row r="24" spans="1:17" ht="10.5">
      <c r="A24" s="20" t="s">
        <v>145</v>
      </c>
      <c r="B24" s="21">
        <f>'1.tábla'!AP57</f>
        <v>6000</v>
      </c>
      <c r="C24" s="21">
        <f>ROUND('1.tábla'!$AP57*12.7%,0)</f>
        <v>762</v>
      </c>
      <c r="D24" s="21">
        <f>ROUND('1.tábla'!$AP57*8.2%,0)</f>
        <v>492</v>
      </c>
      <c r="E24" s="21">
        <f>ROUND('1.tábla'!$AP57*7.6%,0)</f>
        <v>456</v>
      </c>
      <c r="F24" s="21">
        <f>ROUND('1.tábla'!$AP57*8.1%,0)</f>
        <v>486</v>
      </c>
      <c r="G24" s="21">
        <f>ROUND('1.tábla'!$AP57*8.1%,0)</f>
        <v>486</v>
      </c>
      <c r="H24" s="21">
        <f>ROUND('1.tábla'!$AP57*7.6%,0)</f>
        <v>456</v>
      </c>
      <c r="I24" s="21">
        <f>ROUND('1.tábla'!$AP57*7.6%,0)</f>
        <v>456</v>
      </c>
      <c r="J24" s="21">
        <f>ROUND('1.tábla'!$AP57*8.2%,0)</f>
        <v>492</v>
      </c>
      <c r="K24" s="21">
        <f>ROUND('1.tábla'!$AP57*7.6%,0)</f>
        <v>456</v>
      </c>
      <c r="L24" s="21">
        <f>ROUND('1.tábla'!$AP57*8.1%,0)</f>
        <v>486</v>
      </c>
      <c r="M24" s="21">
        <f>ROUND('1.tábla'!$AP57*8.7%,0)</f>
        <v>522</v>
      </c>
      <c r="N24" s="21">
        <f>ROUND('1.tábla'!$AP57*7.5%,0)</f>
        <v>450</v>
      </c>
      <c r="O24" s="22">
        <f t="shared" si="9"/>
        <v>6000</v>
      </c>
      <c r="P24" s="17" t="str">
        <f t="shared" si="10"/>
        <v>OK</v>
      </c>
      <c r="Q24" s="69">
        <f t="shared" si="11"/>
        <v>0</v>
      </c>
    </row>
    <row r="25" spans="1:17" ht="10.5">
      <c r="A25" s="20" t="s">
        <v>146</v>
      </c>
      <c r="B25" s="21">
        <f>'1.tábla'!AP58</f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>
        <f t="shared" si="9"/>
        <v>0</v>
      </c>
      <c r="P25" s="17" t="str">
        <f t="shared" si="10"/>
        <v>OK</v>
      </c>
      <c r="Q25" s="69">
        <f t="shared" si="11"/>
        <v>0</v>
      </c>
    </row>
    <row r="26" spans="1:17" s="18" customFormat="1" ht="10.5">
      <c r="A26" s="23" t="s">
        <v>147</v>
      </c>
      <c r="B26" s="27">
        <f>SUM(B21:B25)</f>
        <v>208515</v>
      </c>
      <c r="C26" s="27">
        <f aca="true" t="shared" si="12" ref="C26:O26">SUM(C21:C25)</f>
        <v>24215</v>
      </c>
      <c r="D26" s="27">
        <f t="shared" si="12"/>
        <v>16770</v>
      </c>
      <c r="E26" s="27">
        <f t="shared" si="12"/>
        <v>16730</v>
      </c>
      <c r="F26" s="27">
        <f t="shared" si="12"/>
        <v>16764</v>
      </c>
      <c r="G26" s="27">
        <f t="shared" si="12"/>
        <v>16764</v>
      </c>
      <c r="H26" s="27">
        <f t="shared" si="12"/>
        <v>16734</v>
      </c>
      <c r="I26" s="27">
        <f t="shared" si="12"/>
        <v>16734</v>
      </c>
      <c r="J26" s="27">
        <f t="shared" si="12"/>
        <v>16770</v>
      </c>
      <c r="K26" s="27">
        <f t="shared" si="12"/>
        <v>16734</v>
      </c>
      <c r="L26" s="27">
        <f t="shared" si="12"/>
        <v>16764</v>
      </c>
      <c r="M26" s="27">
        <f t="shared" si="12"/>
        <v>16800</v>
      </c>
      <c r="N26" s="27">
        <f t="shared" si="12"/>
        <v>16728</v>
      </c>
      <c r="O26" s="28">
        <f t="shared" si="12"/>
        <v>208507</v>
      </c>
      <c r="P26" s="17" t="str">
        <f t="shared" si="10"/>
        <v>JAVITSD!!!</v>
      </c>
      <c r="Q26" s="69">
        <f t="shared" si="11"/>
        <v>-8</v>
      </c>
    </row>
    <row r="27" spans="1:17" ht="10.5">
      <c r="A27" s="20" t="s">
        <v>149</v>
      </c>
      <c r="B27" s="21">
        <f>'1.tábla'!AP59</f>
        <v>5937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>
        <f t="shared" si="9"/>
        <v>0</v>
      </c>
      <c r="P27" s="17" t="str">
        <f t="shared" si="10"/>
        <v>JAVITSD!!!</v>
      </c>
      <c r="Q27" s="69">
        <f t="shared" si="11"/>
        <v>-5937</v>
      </c>
    </row>
    <row r="28" spans="1:17" ht="10.5">
      <c r="A28" s="20" t="s">
        <v>150</v>
      </c>
      <c r="B28" s="21">
        <f>'1.tábla'!AP60</f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>
        <f t="shared" si="9"/>
        <v>0</v>
      </c>
      <c r="P28" s="17" t="str">
        <f t="shared" si="10"/>
        <v>OK</v>
      </c>
      <c r="Q28" s="69">
        <f t="shared" si="11"/>
        <v>0</v>
      </c>
    </row>
    <row r="29" spans="1:15" s="18" customFormat="1" ht="10.5">
      <c r="A29" s="23" t="s">
        <v>151</v>
      </c>
      <c r="B29" s="27">
        <f>SUM(B26:B28)</f>
        <v>214452</v>
      </c>
      <c r="C29" s="27">
        <f aca="true" t="shared" si="13" ref="C29:O29">SUM(C26:C28)</f>
        <v>24215</v>
      </c>
      <c r="D29" s="27">
        <f t="shared" si="13"/>
        <v>16770</v>
      </c>
      <c r="E29" s="27">
        <f t="shared" si="13"/>
        <v>16730</v>
      </c>
      <c r="F29" s="27">
        <f t="shared" si="13"/>
        <v>16764</v>
      </c>
      <c r="G29" s="27">
        <f t="shared" si="13"/>
        <v>16764</v>
      </c>
      <c r="H29" s="27">
        <f t="shared" si="13"/>
        <v>16734</v>
      </c>
      <c r="I29" s="27">
        <f t="shared" si="13"/>
        <v>16734</v>
      </c>
      <c r="J29" s="27">
        <f t="shared" si="13"/>
        <v>16770</v>
      </c>
      <c r="K29" s="27">
        <f t="shared" si="13"/>
        <v>16734</v>
      </c>
      <c r="L29" s="27">
        <f t="shared" si="13"/>
        <v>16764</v>
      </c>
      <c r="M29" s="27">
        <f t="shared" si="13"/>
        <v>16800</v>
      </c>
      <c r="N29" s="27">
        <f t="shared" si="13"/>
        <v>16728</v>
      </c>
      <c r="O29" s="28">
        <f t="shared" si="13"/>
        <v>208507</v>
      </c>
    </row>
    <row r="30" spans="1:15" ht="10.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5" ht="10.5">
      <c r="A31" s="20" t="s">
        <v>154</v>
      </c>
      <c r="B31" s="21">
        <f>B18-B29</f>
        <v>16</v>
      </c>
      <c r="C31" s="21">
        <f aca="true" t="shared" si="14" ref="C31:N31">C18-C29</f>
        <v>2</v>
      </c>
      <c r="D31" s="21">
        <f t="shared" si="14"/>
        <v>2939</v>
      </c>
      <c r="E31" s="21">
        <f t="shared" si="14"/>
        <v>2</v>
      </c>
      <c r="F31" s="21">
        <f t="shared" si="14"/>
        <v>2</v>
      </c>
      <c r="G31" s="21">
        <f t="shared" si="14"/>
        <v>1294</v>
      </c>
      <c r="H31" s="21">
        <f t="shared" si="14"/>
        <v>2</v>
      </c>
      <c r="I31" s="21">
        <f t="shared" si="14"/>
        <v>2</v>
      </c>
      <c r="J31" s="21">
        <f t="shared" si="14"/>
        <v>2</v>
      </c>
      <c r="K31" s="21">
        <f t="shared" si="14"/>
        <v>2</v>
      </c>
      <c r="L31" s="21">
        <f t="shared" si="14"/>
        <v>2</v>
      </c>
      <c r="M31" s="21">
        <f t="shared" si="14"/>
        <v>2</v>
      </c>
      <c r="N31" s="21">
        <f t="shared" si="14"/>
        <v>2</v>
      </c>
      <c r="O31" s="22"/>
    </row>
    <row r="32" spans="1:15" ht="10.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pans="1:15" ht="10.5">
      <c r="A33" s="20" t="s">
        <v>155</v>
      </c>
      <c r="B33" s="21"/>
      <c r="C33" s="21">
        <f>C3+C31</f>
        <v>24687</v>
      </c>
      <c r="D33" s="21">
        <f aca="true" t="shared" si="15" ref="D33:N33">D3+D31</f>
        <v>27626</v>
      </c>
      <c r="E33" s="21">
        <f t="shared" si="15"/>
        <v>27628</v>
      </c>
      <c r="F33" s="21">
        <f t="shared" si="15"/>
        <v>27630</v>
      </c>
      <c r="G33" s="21">
        <f t="shared" si="15"/>
        <v>28924</v>
      </c>
      <c r="H33" s="21">
        <f t="shared" si="15"/>
        <v>28926</v>
      </c>
      <c r="I33" s="21">
        <f t="shared" si="15"/>
        <v>28928</v>
      </c>
      <c r="J33" s="21">
        <f t="shared" si="15"/>
        <v>28930</v>
      </c>
      <c r="K33" s="21">
        <f t="shared" si="15"/>
        <v>28932</v>
      </c>
      <c r="L33" s="21">
        <f t="shared" si="15"/>
        <v>28934</v>
      </c>
      <c r="M33" s="21">
        <f t="shared" si="15"/>
        <v>28936</v>
      </c>
      <c r="N33" s="21">
        <f t="shared" si="15"/>
        <v>28938</v>
      </c>
      <c r="O33" s="22"/>
    </row>
    <row r="34" spans="1:15" ht="10.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</sheetData>
  <sheetProtection/>
  <printOptions horizontalCentered="1"/>
  <pageMargins left="0.16" right="0.16" top="1.14173228346456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dőlt"Polgári Kistérség Többcélú Társulás, és intézménye 2013.évi előirányzat felhasználási és likviditási terve&amp;R&amp;"Times New Roman,Dőlt"&amp;8 5.számú melléklet&amp;"Arial,Normál"&amp;10
&amp;"Times New Roman,Dőlt"&amp;8adatok ezer forintban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0.28125" style="1" customWidth="1"/>
    <col min="2" max="2" width="11.7109375" style="2" customWidth="1"/>
    <col min="3" max="3" width="11.57421875" style="2" bestFit="1" customWidth="1"/>
    <col min="4" max="4" width="12.421875" style="2" bestFit="1" customWidth="1"/>
    <col min="5" max="16384" width="9.140625" style="1" customWidth="1"/>
  </cols>
  <sheetData>
    <row r="1" spans="1:4" ht="15" customHeight="1">
      <c r="A1" s="238" t="s">
        <v>117</v>
      </c>
      <c r="B1" s="232" t="s">
        <v>237</v>
      </c>
      <c r="C1" s="234" t="s">
        <v>211</v>
      </c>
      <c r="D1" s="236" t="s">
        <v>238</v>
      </c>
    </row>
    <row r="2" spans="1:4" ht="19.5" customHeight="1" thickBot="1">
      <c r="A2" s="239"/>
      <c r="B2" s="233"/>
      <c r="C2" s="235"/>
      <c r="D2" s="237"/>
    </row>
    <row r="3" spans="1:4" ht="13.5" thickTop="1">
      <c r="A3" s="56"/>
      <c r="B3" s="57"/>
      <c r="C3" s="57"/>
      <c r="D3" s="58"/>
    </row>
    <row r="4" spans="1:4" ht="12.75">
      <c r="A4" s="229" t="s">
        <v>204</v>
      </c>
      <c r="B4" s="230"/>
      <c r="C4" s="230"/>
      <c r="D4" s="231"/>
    </row>
    <row r="5" spans="1:4" ht="12.75">
      <c r="A5" s="56"/>
      <c r="B5" s="59"/>
      <c r="C5" s="59"/>
      <c r="D5" s="60"/>
    </row>
    <row r="6" spans="1:4" ht="12.75">
      <c r="A6" s="56" t="s">
        <v>205</v>
      </c>
      <c r="B6" s="59">
        <v>68872</v>
      </c>
      <c r="C6" s="59">
        <f>ROUND(B6*1.01,0)</f>
        <v>69561</v>
      </c>
      <c r="D6" s="60">
        <f>ROUND(B6*1.02,0)</f>
        <v>70249</v>
      </c>
    </row>
    <row r="7" spans="1:4" ht="12.75">
      <c r="A7" s="56" t="s">
        <v>206</v>
      </c>
      <c r="B7" s="59">
        <v>35465</v>
      </c>
      <c r="C7" s="59">
        <f>ROUND(B7*1.01,0)</f>
        <v>35820</v>
      </c>
      <c r="D7" s="60">
        <f>ROUND(B7*1.02,0)</f>
        <v>36174</v>
      </c>
    </row>
    <row r="8" spans="1:4" ht="12.75">
      <c r="A8" s="56" t="s">
        <v>209</v>
      </c>
      <c r="B8" s="59">
        <v>80305</v>
      </c>
      <c r="C8" s="59">
        <f>ROUND(B8*1.01,0)</f>
        <v>81108</v>
      </c>
      <c r="D8" s="60">
        <f>ROUND(B8*1.02,0)</f>
        <v>81911</v>
      </c>
    </row>
    <row r="9" spans="1:4" ht="12.75">
      <c r="A9" s="56" t="s">
        <v>210</v>
      </c>
      <c r="B9" s="59"/>
      <c r="C9" s="59"/>
      <c r="D9" s="60"/>
    </row>
    <row r="10" spans="1:4" ht="12.75">
      <c r="A10" s="56" t="s">
        <v>207</v>
      </c>
      <c r="B10" s="59">
        <v>29826</v>
      </c>
      <c r="C10" s="59">
        <f>ROUND(B10*1.01,0)-1</f>
        <v>30123</v>
      </c>
      <c r="D10" s="60">
        <f>ROUND(B10*1.02,0)</f>
        <v>30423</v>
      </c>
    </row>
    <row r="11" spans="1:4" ht="12.75">
      <c r="A11" s="56" t="s">
        <v>111</v>
      </c>
      <c r="B11" s="59">
        <v>0</v>
      </c>
      <c r="C11" s="59">
        <f>ROUND(B11*1.01,0)</f>
        <v>0</v>
      </c>
      <c r="D11" s="60">
        <f>ROUND(B11*1.02,0)</f>
        <v>0</v>
      </c>
    </row>
    <row r="12" spans="1:4" s="4" customFormat="1" ht="12.75">
      <c r="A12" s="61" t="s">
        <v>208</v>
      </c>
      <c r="B12" s="62">
        <f>SUM(B6:B11)</f>
        <v>214468</v>
      </c>
      <c r="C12" s="62">
        <f>SUM(C6:C11)</f>
        <v>216612</v>
      </c>
      <c r="D12" s="63">
        <f>SUM(D6:D11)</f>
        <v>218757</v>
      </c>
    </row>
    <row r="13" spans="1:4" ht="12.75">
      <c r="A13" s="56"/>
      <c r="B13" s="59"/>
      <c r="C13" s="59"/>
      <c r="D13" s="60"/>
    </row>
    <row r="14" spans="1:4" ht="12.75">
      <c r="A14" s="56"/>
      <c r="B14" s="59"/>
      <c r="C14" s="59"/>
      <c r="D14" s="60"/>
    </row>
    <row r="15" spans="1:4" ht="12.75">
      <c r="A15" s="56" t="s">
        <v>212</v>
      </c>
      <c r="B15" s="59">
        <v>77713</v>
      </c>
      <c r="C15" s="59">
        <f>ROUND(B15*1.01,0)</f>
        <v>78490</v>
      </c>
      <c r="D15" s="60">
        <f>ROUND(B15*1.02,0)</f>
        <v>79267</v>
      </c>
    </row>
    <row r="16" spans="1:4" ht="12.75">
      <c r="A16" s="56" t="s">
        <v>64</v>
      </c>
      <c r="B16" s="59">
        <v>19654</v>
      </c>
      <c r="C16" s="59">
        <f aca="true" t="shared" si="0" ref="C16:C22">ROUND(B16*1.01,0)</f>
        <v>19851</v>
      </c>
      <c r="D16" s="60">
        <f aca="true" t="shared" si="1" ref="D16:D22">ROUND(B16*1.02,0)</f>
        <v>20047</v>
      </c>
    </row>
    <row r="17" spans="1:4" ht="12.75">
      <c r="A17" s="56" t="s">
        <v>9</v>
      </c>
      <c r="B17" s="59">
        <v>99145</v>
      </c>
      <c r="C17" s="59">
        <f t="shared" si="0"/>
        <v>100136</v>
      </c>
      <c r="D17" s="60">
        <f t="shared" si="1"/>
        <v>101128</v>
      </c>
    </row>
    <row r="18" spans="1:4" ht="12.75">
      <c r="A18" s="56" t="s">
        <v>10</v>
      </c>
      <c r="B18" s="59">
        <v>6019</v>
      </c>
      <c r="C18" s="59">
        <f t="shared" si="0"/>
        <v>6079</v>
      </c>
      <c r="D18" s="60">
        <f t="shared" si="1"/>
        <v>6139</v>
      </c>
    </row>
    <row r="19" spans="1:4" ht="12.75">
      <c r="A19" s="56" t="s">
        <v>213</v>
      </c>
      <c r="B19" s="59">
        <v>6000</v>
      </c>
      <c r="C19" s="59">
        <f t="shared" si="0"/>
        <v>6060</v>
      </c>
      <c r="D19" s="60">
        <f t="shared" si="1"/>
        <v>6120</v>
      </c>
    </row>
    <row r="20" spans="1:4" ht="12.75">
      <c r="A20" s="56" t="s">
        <v>214</v>
      </c>
      <c r="B20" s="59">
        <v>0</v>
      </c>
      <c r="C20" s="59">
        <f t="shared" si="0"/>
        <v>0</v>
      </c>
      <c r="D20" s="60">
        <f t="shared" si="1"/>
        <v>0</v>
      </c>
    </row>
    <row r="21" spans="1:4" ht="12.75">
      <c r="A21" s="56" t="s">
        <v>215</v>
      </c>
      <c r="B21" s="59">
        <v>0</v>
      </c>
      <c r="C21" s="59">
        <f t="shared" si="0"/>
        <v>0</v>
      </c>
      <c r="D21" s="60">
        <f t="shared" si="1"/>
        <v>0</v>
      </c>
    </row>
    <row r="22" spans="1:4" ht="12.75">
      <c r="A22" s="56" t="s">
        <v>85</v>
      </c>
      <c r="B22" s="59">
        <v>5937</v>
      </c>
      <c r="C22" s="59">
        <f t="shared" si="0"/>
        <v>5996</v>
      </c>
      <c r="D22" s="60">
        <f t="shared" si="1"/>
        <v>6056</v>
      </c>
    </row>
    <row r="23" spans="1:4" ht="12.75">
      <c r="A23" s="56" t="s">
        <v>14</v>
      </c>
      <c r="B23" s="59"/>
      <c r="C23" s="59"/>
      <c r="D23" s="60"/>
    </row>
    <row r="24" spans="1:4" s="4" customFormat="1" ht="12.75">
      <c r="A24" s="61" t="s">
        <v>216</v>
      </c>
      <c r="B24" s="62">
        <f>SUM(B15:B23)</f>
        <v>214468</v>
      </c>
      <c r="C24" s="62">
        <f>SUM(C15:C23)</f>
        <v>216612</v>
      </c>
      <c r="D24" s="63">
        <f>SUM(D15:D23)</f>
        <v>218757</v>
      </c>
    </row>
    <row r="25" spans="1:4" ht="12.75">
      <c r="A25" s="56"/>
      <c r="B25" s="59"/>
      <c r="C25" s="59"/>
      <c r="D25" s="60"/>
    </row>
    <row r="26" spans="1:4" ht="12.75">
      <c r="A26" s="229" t="s">
        <v>217</v>
      </c>
      <c r="B26" s="230"/>
      <c r="C26" s="230"/>
      <c r="D26" s="231"/>
    </row>
    <row r="27" spans="1:4" ht="12.75">
      <c r="A27" s="56"/>
      <c r="B27" s="59"/>
      <c r="C27" s="59"/>
      <c r="D27" s="60"/>
    </row>
    <row r="28" spans="1:4" ht="12.75">
      <c r="A28" s="56" t="s">
        <v>218</v>
      </c>
      <c r="B28" s="59">
        <v>0</v>
      </c>
      <c r="C28" s="59">
        <v>0</v>
      </c>
      <c r="D28" s="60">
        <v>0</v>
      </c>
    </row>
    <row r="29" spans="1:4" ht="12.75">
      <c r="A29" s="56"/>
      <c r="B29" s="59"/>
      <c r="C29" s="59"/>
      <c r="D29" s="60"/>
    </row>
    <row r="30" spans="1:4" ht="12.75">
      <c r="A30" s="56" t="s">
        <v>219</v>
      </c>
      <c r="B30" s="59">
        <v>0</v>
      </c>
      <c r="C30" s="59">
        <v>0</v>
      </c>
      <c r="D30" s="60">
        <v>0</v>
      </c>
    </row>
    <row r="31" spans="1:4" ht="12.75">
      <c r="A31" s="56"/>
      <c r="B31" s="59"/>
      <c r="C31" s="59"/>
      <c r="D31" s="60"/>
    </row>
    <row r="32" spans="1:4" ht="12.75">
      <c r="A32" s="56" t="s">
        <v>26</v>
      </c>
      <c r="B32" s="59">
        <f>B12+B28</f>
        <v>214468</v>
      </c>
      <c r="C32" s="59">
        <f>C12+C28</f>
        <v>216612</v>
      </c>
      <c r="D32" s="60">
        <f>D12+D28</f>
        <v>218757</v>
      </c>
    </row>
    <row r="33" spans="1:4" ht="12.75">
      <c r="A33" s="56" t="s">
        <v>220</v>
      </c>
      <c r="B33" s="59">
        <f>B24+B30</f>
        <v>214468</v>
      </c>
      <c r="C33" s="59">
        <f>C24+C30</f>
        <v>216612</v>
      </c>
      <c r="D33" s="60">
        <f>D24+D30</f>
        <v>218757</v>
      </c>
    </row>
    <row r="34" spans="1:4" ht="12.75">
      <c r="A34" s="64"/>
      <c r="B34" s="65"/>
      <c r="C34" s="65"/>
      <c r="D34" s="66"/>
    </row>
  </sheetData>
  <sheetProtection/>
  <mergeCells count="6">
    <mergeCell ref="A26:D26"/>
    <mergeCell ref="B1:B2"/>
    <mergeCell ref="C1:C2"/>
    <mergeCell ref="D1:D2"/>
    <mergeCell ref="A4:D4"/>
    <mergeCell ref="A1:A2"/>
  </mergeCells>
  <printOptions horizontalCentered="1"/>
  <pageMargins left="0.7874015748031497" right="0.7874015748031497" top="1.35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dőlt"&amp;11
 Polgári Kistérség Többcélú Társulás
 költségvetési bevételei  és kiadásai 2012-2014&amp;R&amp;"Times New Roman,Dőlt"&amp;9 5.számú melléklet
&amp;"Arial,Normál"&amp;10
&amp;"Times New Roman,Dőlt"&amp;8adatok ezer forintban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3">
      <selection activeCell="C42" sqref="C42"/>
    </sheetView>
  </sheetViews>
  <sheetFormatPr defaultColWidth="9.140625" defaultRowHeight="12.75"/>
  <cols>
    <col min="1" max="1" width="45.140625" style="120" bestFit="1" customWidth="1"/>
    <col min="2" max="4" width="14.7109375" style="121" customWidth="1"/>
    <col min="5" max="16384" width="9.140625" style="120" customWidth="1"/>
  </cols>
  <sheetData>
    <row r="1" spans="1:4" ht="60.75" thickBot="1">
      <c r="A1" s="168" t="s">
        <v>117</v>
      </c>
      <c r="B1" s="166" t="s">
        <v>444</v>
      </c>
      <c r="C1" s="167" t="s">
        <v>443</v>
      </c>
      <c r="D1" s="167" t="s">
        <v>445</v>
      </c>
    </row>
    <row r="2" spans="1:4" ht="24.75" thickTop="1">
      <c r="A2" s="162" t="s">
        <v>446</v>
      </c>
      <c r="B2" s="163"/>
      <c r="C2" s="164"/>
      <c r="D2" s="165">
        <v>6799194</v>
      </c>
    </row>
    <row r="3" spans="1:4" ht="12">
      <c r="A3" s="155" t="s">
        <v>269</v>
      </c>
      <c r="B3" s="153"/>
      <c r="C3" s="153"/>
      <c r="D3" s="154"/>
    </row>
    <row r="4" spans="1:4" ht="12">
      <c r="A4" s="155" t="s">
        <v>270</v>
      </c>
      <c r="B4" s="153"/>
      <c r="C4" s="153"/>
      <c r="D4" s="154"/>
    </row>
    <row r="5" spans="1:4" ht="12">
      <c r="A5" s="155" t="s">
        <v>270</v>
      </c>
      <c r="B5" s="153">
        <v>249597</v>
      </c>
      <c r="C5" s="153">
        <v>76960</v>
      </c>
      <c r="D5" s="154"/>
    </row>
    <row r="6" spans="1:4" ht="12">
      <c r="A6" s="155" t="s">
        <v>271</v>
      </c>
      <c r="B6" s="153">
        <v>1828000</v>
      </c>
      <c r="C6" s="153"/>
      <c r="D6" s="154"/>
    </row>
    <row r="7" spans="1:4" ht="12">
      <c r="A7" s="155" t="s">
        <v>272</v>
      </c>
      <c r="B7" s="153">
        <v>160396</v>
      </c>
      <c r="C7" s="153"/>
      <c r="D7" s="154"/>
    </row>
    <row r="8" spans="1:4" ht="12">
      <c r="A8" s="155" t="s">
        <v>313</v>
      </c>
      <c r="B8" s="153">
        <v>5420161</v>
      </c>
      <c r="C8" s="153"/>
      <c r="D8" s="154"/>
    </row>
    <row r="9" spans="1:4" ht="12">
      <c r="A9" s="155" t="s">
        <v>297</v>
      </c>
      <c r="B9" s="153">
        <v>9800</v>
      </c>
      <c r="C9" s="153">
        <v>9800</v>
      </c>
      <c r="D9" s="154"/>
    </row>
    <row r="10" spans="1:4" ht="12">
      <c r="A10" s="155" t="s">
        <v>298</v>
      </c>
      <c r="B10" s="153">
        <v>13300</v>
      </c>
      <c r="C10" s="153">
        <v>13300</v>
      </c>
      <c r="D10" s="154"/>
    </row>
    <row r="11" spans="1:4" ht="12">
      <c r="A11" s="155" t="s">
        <v>299</v>
      </c>
      <c r="B11" s="153">
        <v>12400</v>
      </c>
      <c r="C11" s="153"/>
      <c r="D11" s="154"/>
    </row>
    <row r="12" spans="1:4" ht="12">
      <c r="A12" s="155" t="s">
        <v>284</v>
      </c>
      <c r="B12" s="153">
        <v>295152</v>
      </c>
      <c r="C12" s="153"/>
      <c r="D12" s="154"/>
    </row>
    <row r="13" spans="1:4" ht="12">
      <c r="A13" s="155"/>
      <c r="B13" s="153">
        <f>SUM(B5:B12)</f>
        <v>7988806</v>
      </c>
      <c r="C13" s="153">
        <f>SUM(C5:C11)</f>
        <v>100060</v>
      </c>
      <c r="D13" s="154"/>
    </row>
    <row r="14" spans="1:4" ht="12">
      <c r="A14" s="155" t="s">
        <v>273</v>
      </c>
      <c r="B14" s="153"/>
      <c r="C14" s="153"/>
      <c r="D14" s="154"/>
    </row>
    <row r="15" spans="1:4" ht="12">
      <c r="A15" s="155" t="s">
        <v>274</v>
      </c>
      <c r="B15" s="153">
        <v>81890</v>
      </c>
      <c r="C15" s="153">
        <v>81890</v>
      </c>
      <c r="D15" s="154"/>
    </row>
    <row r="16" spans="1:4" ht="12">
      <c r="A16" s="155" t="s">
        <v>275</v>
      </c>
      <c r="B16" s="153">
        <v>416000</v>
      </c>
      <c r="C16" s="153">
        <v>416000</v>
      </c>
      <c r="D16" s="154"/>
    </row>
    <row r="17" spans="1:4" ht="12">
      <c r="A17" s="155" t="s">
        <v>277</v>
      </c>
      <c r="B17" s="153">
        <v>80000</v>
      </c>
      <c r="C17" s="153">
        <v>80000</v>
      </c>
      <c r="D17" s="154"/>
    </row>
    <row r="18" spans="1:4" ht="12">
      <c r="A18" s="155" t="s">
        <v>276</v>
      </c>
      <c r="B18" s="153"/>
      <c r="C18" s="153"/>
      <c r="D18" s="154"/>
    </row>
    <row r="19" spans="1:4" ht="12">
      <c r="A19" s="155" t="s">
        <v>278</v>
      </c>
      <c r="B19" s="153">
        <v>290480</v>
      </c>
      <c r="C19" s="153">
        <v>290480</v>
      </c>
      <c r="D19" s="154"/>
    </row>
    <row r="20" spans="1:4" ht="12">
      <c r="A20" s="155" t="s">
        <v>279</v>
      </c>
      <c r="B20" s="153">
        <v>87840</v>
      </c>
      <c r="C20" s="153">
        <v>87840</v>
      </c>
      <c r="D20" s="154"/>
    </row>
    <row r="21" spans="1:4" ht="12">
      <c r="A21" s="155" t="s">
        <v>280</v>
      </c>
      <c r="B21" s="153">
        <v>232608</v>
      </c>
      <c r="C21" s="153">
        <v>232608</v>
      </c>
      <c r="D21" s="154"/>
    </row>
    <row r="22" spans="1:4" ht="12">
      <c r="A22" s="155" t="s">
        <v>281</v>
      </c>
      <c r="B22" s="153">
        <v>589216</v>
      </c>
      <c r="C22" s="153">
        <v>589216</v>
      </c>
      <c r="D22" s="154"/>
    </row>
    <row r="23" spans="1:4" ht="12">
      <c r="A23" s="155" t="s">
        <v>282</v>
      </c>
      <c r="B23" s="153">
        <v>244576</v>
      </c>
      <c r="C23" s="153">
        <v>244576</v>
      </c>
      <c r="D23" s="154"/>
    </row>
    <row r="24" spans="1:4" ht="12">
      <c r="A24" s="155" t="s">
        <v>283</v>
      </c>
      <c r="B24" s="153">
        <v>93952</v>
      </c>
      <c r="C24" s="153">
        <v>93952</v>
      </c>
      <c r="D24" s="154"/>
    </row>
    <row r="25" spans="1:4" ht="12">
      <c r="A25" s="155" t="s">
        <v>285</v>
      </c>
      <c r="B25" s="153">
        <v>17897</v>
      </c>
      <c r="C25" s="153">
        <v>17897</v>
      </c>
      <c r="D25" s="154"/>
    </row>
    <row r="26" spans="1:4" ht="12">
      <c r="A26" s="155" t="s">
        <v>286</v>
      </c>
      <c r="B26" s="153">
        <v>26121</v>
      </c>
      <c r="C26" s="153">
        <v>26121</v>
      </c>
      <c r="D26" s="154"/>
    </row>
    <row r="27" spans="1:4" ht="12">
      <c r="A27" s="155" t="s">
        <v>290</v>
      </c>
      <c r="B27" s="153">
        <v>3501</v>
      </c>
      <c r="C27" s="153">
        <v>3501</v>
      </c>
      <c r="D27" s="154"/>
    </row>
    <row r="28" spans="1:4" ht="12">
      <c r="A28" s="155" t="s">
        <v>288</v>
      </c>
      <c r="B28" s="153">
        <v>125052</v>
      </c>
      <c r="C28" s="153">
        <v>125052</v>
      </c>
      <c r="D28" s="154"/>
    </row>
    <row r="29" spans="1:4" ht="12">
      <c r="A29" s="155" t="s">
        <v>289</v>
      </c>
      <c r="B29" s="153">
        <v>20696</v>
      </c>
      <c r="C29" s="153"/>
      <c r="D29" s="154"/>
    </row>
    <row r="30" spans="1:4" ht="12">
      <c r="A30" s="155" t="s">
        <v>287</v>
      </c>
      <c r="B30" s="153">
        <v>292152</v>
      </c>
      <c r="C30" s="153">
        <v>292152</v>
      </c>
      <c r="D30" s="154"/>
    </row>
    <row r="31" spans="1:4" ht="12">
      <c r="A31" s="155" t="s">
        <v>291</v>
      </c>
      <c r="B31" s="153">
        <v>339457</v>
      </c>
      <c r="C31" s="153"/>
      <c r="D31" s="154"/>
    </row>
    <row r="32" spans="1:4" ht="12">
      <c r="A32" s="155" t="s">
        <v>301</v>
      </c>
      <c r="B32" s="153">
        <v>1295524</v>
      </c>
      <c r="C32" s="153"/>
      <c r="D32" s="154"/>
    </row>
    <row r="33" spans="1:4" ht="12">
      <c r="A33" s="155" t="s">
        <v>312</v>
      </c>
      <c r="B33" s="153">
        <v>422017</v>
      </c>
      <c r="C33" s="153"/>
      <c r="D33" s="154"/>
    </row>
    <row r="34" spans="1:4" ht="12">
      <c r="A34" s="155" t="s">
        <v>292</v>
      </c>
      <c r="B34" s="153"/>
      <c r="C34" s="153"/>
      <c r="D34" s="154"/>
    </row>
    <row r="35" spans="1:4" ht="12">
      <c r="A35" s="155" t="s">
        <v>293</v>
      </c>
      <c r="B35" s="153">
        <v>406400</v>
      </c>
      <c r="C35" s="153"/>
      <c r="D35" s="154"/>
    </row>
    <row r="36" spans="1:4" ht="12">
      <c r="A36" s="155" t="s">
        <v>442</v>
      </c>
      <c r="B36" s="153">
        <v>1996266</v>
      </c>
      <c r="C36" s="153"/>
      <c r="D36" s="154"/>
    </row>
    <row r="37" spans="1:4" ht="12">
      <c r="A37" s="155" t="s">
        <v>294</v>
      </c>
      <c r="B37" s="153">
        <v>3161770</v>
      </c>
      <c r="C37" s="153"/>
      <c r="D37" s="154"/>
    </row>
    <row r="38" spans="1:4" ht="12">
      <c r="A38" s="155" t="s">
        <v>295</v>
      </c>
      <c r="B38" s="153">
        <f>SUM(B35:B37)</f>
        <v>5564436</v>
      </c>
      <c r="C38" s="153"/>
      <c r="D38" s="154"/>
    </row>
    <row r="39" spans="1:4" ht="12">
      <c r="A39" s="155" t="s">
        <v>314</v>
      </c>
      <c r="B39" s="153">
        <v>422897</v>
      </c>
      <c r="C39" s="153"/>
      <c r="D39" s="154"/>
    </row>
    <row r="40" spans="1:4" ht="12">
      <c r="A40" s="155"/>
      <c r="B40" s="153">
        <f>SUM(B15:B33)+B38+B39</f>
        <v>10646312</v>
      </c>
      <c r="C40" s="153">
        <f>SUM(C15:C39)</f>
        <v>2581285</v>
      </c>
      <c r="D40" s="154"/>
    </row>
    <row r="41" spans="1:4" ht="12">
      <c r="A41" s="155"/>
      <c r="B41" s="153"/>
      <c r="C41" s="153"/>
      <c r="D41" s="154"/>
    </row>
    <row r="42" spans="1:4" ht="24">
      <c r="A42" s="152" t="s">
        <v>322</v>
      </c>
      <c r="B42" s="153"/>
      <c r="C42" s="153"/>
      <c r="D42" s="154">
        <f>D2+C13-C35</f>
        <v>6899254</v>
      </c>
    </row>
    <row r="43" spans="1:4" ht="12">
      <c r="A43" s="155" t="s">
        <v>296</v>
      </c>
      <c r="B43" s="153"/>
      <c r="C43" s="153"/>
      <c r="D43" s="154">
        <f>B13-C13</f>
        <v>7888746</v>
      </c>
    </row>
    <row r="44" spans="1:4" ht="12">
      <c r="A44" s="155" t="s">
        <v>447</v>
      </c>
      <c r="B44" s="153"/>
      <c r="C44" s="153"/>
      <c r="D44" s="154">
        <f>(B40-C40)*-1</f>
        <v>-8065027</v>
      </c>
    </row>
    <row r="45" spans="1:4" s="122" customFormat="1" ht="12">
      <c r="A45" s="156" t="s">
        <v>300</v>
      </c>
      <c r="B45" s="157"/>
      <c r="C45" s="157"/>
      <c r="D45" s="158">
        <f>SUM(D42:D44)</f>
        <v>6722973</v>
      </c>
    </row>
    <row r="46" spans="1:4" ht="12">
      <c r="A46" s="155"/>
      <c r="B46" s="153"/>
      <c r="C46" s="153"/>
      <c r="D46" s="154"/>
    </row>
    <row r="47" spans="1:4" ht="12">
      <c r="A47" s="155" t="s">
        <v>323</v>
      </c>
      <c r="B47" s="153" t="s">
        <v>315</v>
      </c>
      <c r="C47" s="153"/>
      <c r="D47" s="154"/>
    </row>
    <row r="48" spans="1:4" ht="12">
      <c r="A48" s="155" t="s">
        <v>316</v>
      </c>
      <c r="B48" s="153">
        <v>379</v>
      </c>
      <c r="C48" s="171">
        <f aca="true" t="shared" si="0" ref="C48:C53">B48/B$54</f>
        <v>0.02633407448582546</v>
      </c>
      <c r="D48" s="158">
        <f aca="true" t="shared" si="1" ref="D48:D53">ROUND(D$45*C48,0)</f>
        <v>177043</v>
      </c>
    </row>
    <row r="49" spans="1:4" ht="12">
      <c r="A49" s="155" t="s">
        <v>317</v>
      </c>
      <c r="B49" s="153">
        <v>2537</v>
      </c>
      <c r="C49" s="171">
        <f t="shared" si="0"/>
        <v>0.17627848804891608</v>
      </c>
      <c r="D49" s="158">
        <f t="shared" si="1"/>
        <v>1185116</v>
      </c>
    </row>
    <row r="50" spans="1:4" ht="12">
      <c r="A50" s="155" t="s">
        <v>318</v>
      </c>
      <c r="B50" s="153">
        <v>8223</v>
      </c>
      <c r="C50" s="171">
        <f t="shared" si="0"/>
        <v>0.5713590883824347</v>
      </c>
      <c r="D50" s="158">
        <f t="shared" si="1"/>
        <v>3841232</v>
      </c>
    </row>
    <row r="51" spans="1:4" ht="12">
      <c r="A51" s="155" t="s">
        <v>319</v>
      </c>
      <c r="B51" s="153">
        <v>763</v>
      </c>
      <c r="C51" s="171">
        <f t="shared" si="0"/>
        <v>0.05301556420233463</v>
      </c>
      <c r="D51" s="158">
        <f t="shared" si="1"/>
        <v>356422</v>
      </c>
    </row>
    <row r="52" spans="1:4" ht="12">
      <c r="A52" s="155" t="s">
        <v>320</v>
      </c>
      <c r="B52" s="153">
        <v>1537</v>
      </c>
      <c r="C52" s="171">
        <f t="shared" si="0"/>
        <v>0.10679544191217342</v>
      </c>
      <c r="D52" s="158">
        <f t="shared" si="1"/>
        <v>717983</v>
      </c>
    </row>
    <row r="53" spans="1:4" ht="12">
      <c r="A53" s="155" t="s">
        <v>321</v>
      </c>
      <c r="B53" s="153">
        <v>953</v>
      </c>
      <c r="C53" s="171">
        <f t="shared" si="0"/>
        <v>0.06621734296831573</v>
      </c>
      <c r="D53" s="158">
        <f t="shared" si="1"/>
        <v>445177</v>
      </c>
    </row>
    <row r="54" spans="1:4" ht="12">
      <c r="A54" s="169" t="s">
        <v>324</v>
      </c>
      <c r="B54" s="170">
        <f>SUM(B48:B53)</f>
        <v>14392</v>
      </c>
      <c r="C54" s="172">
        <f>SUM(C48:C53)</f>
        <v>0.9999999999999999</v>
      </c>
      <c r="D54" s="173">
        <f>SUM(D48:D53)</f>
        <v>6722973</v>
      </c>
    </row>
    <row r="55" spans="1:4" ht="12">
      <c r="A55" s="159"/>
      <c r="B55" s="160"/>
      <c r="C55" s="160"/>
      <c r="D55" s="161"/>
    </row>
  </sheetData>
  <sheetProtection/>
  <printOptions horizontalCentered="1"/>
  <pageMargins left="0.55" right="0.42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Roman,Félkövér dőlt" Kimutatás a Polgári Kistérség Többcélú Társulás 2013.évi pénzmaradványáról&amp;"Arial,Normál"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7"/>
  <sheetViews>
    <sheetView zoomScalePageLayoutView="0" workbookViewId="0" topLeftCell="A1">
      <pane xSplit="1" ySplit="2" topLeftCell="W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J57" sqref="AJ57"/>
    </sheetView>
  </sheetViews>
  <sheetFormatPr defaultColWidth="9.140625" defaultRowHeight="12.75"/>
  <cols>
    <col min="1" max="1" width="28.28125" style="80" customWidth="1"/>
    <col min="2" max="11" width="7.7109375" style="16" customWidth="1"/>
    <col min="12" max="13" width="7.7109375" style="50" customWidth="1"/>
    <col min="14" max="39" width="7.7109375" style="16" customWidth="1"/>
    <col min="40" max="40" width="8.28125" style="50" bestFit="1" customWidth="1"/>
    <col min="41" max="41" width="7.7109375" style="50" customWidth="1"/>
    <col min="42" max="42" width="8.28125" style="68" bestFit="1" customWidth="1"/>
    <col min="43" max="43" width="8.28125" style="130" bestFit="1" customWidth="1"/>
    <col min="44" max="16384" width="9.140625" style="17" customWidth="1"/>
  </cols>
  <sheetData>
    <row r="1" spans="1:43" s="40" customFormat="1" ht="48.75" customHeight="1">
      <c r="A1" s="72" t="s">
        <v>0</v>
      </c>
      <c r="B1" s="246" t="s">
        <v>221</v>
      </c>
      <c r="C1" s="246"/>
      <c r="D1" s="246" t="s">
        <v>222</v>
      </c>
      <c r="E1" s="246"/>
      <c r="F1" s="246" t="s">
        <v>108</v>
      </c>
      <c r="G1" s="246"/>
      <c r="H1" s="246" t="s">
        <v>109</v>
      </c>
      <c r="I1" s="246"/>
      <c r="J1" s="246" t="s">
        <v>30</v>
      </c>
      <c r="K1" s="246"/>
      <c r="L1" s="247" t="s">
        <v>29</v>
      </c>
      <c r="M1" s="247"/>
      <c r="N1" s="240" t="s">
        <v>112</v>
      </c>
      <c r="O1" s="241"/>
      <c r="P1" s="240" t="s">
        <v>110</v>
      </c>
      <c r="Q1" s="241"/>
      <c r="R1" s="240" t="s">
        <v>31</v>
      </c>
      <c r="S1" s="241"/>
      <c r="T1" s="240" t="s">
        <v>32</v>
      </c>
      <c r="U1" s="241"/>
      <c r="V1" s="240" t="s">
        <v>33</v>
      </c>
      <c r="W1" s="241"/>
      <c r="X1" s="240" t="s">
        <v>34</v>
      </c>
      <c r="Y1" s="241"/>
      <c r="Z1" s="240" t="s">
        <v>114</v>
      </c>
      <c r="AA1" s="241"/>
      <c r="AB1" s="240" t="s">
        <v>35</v>
      </c>
      <c r="AC1" s="241"/>
      <c r="AD1" s="240" t="s">
        <v>36</v>
      </c>
      <c r="AE1" s="241"/>
      <c r="AF1" s="240" t="s">
        <v>115</v>
      </c>
      <c r="AG1" s="241"/>
      <c r="AH1" s="240" t="s">
        <v>116</v>
      </c>
      <c r="AI1" s="241"/>
      <c r="AJ1" s="240" t="s">
        <v>37</v>
      </c>
      <c r="AK1" s="241"/>
      <c r="AL1" s="240" t="s">
        <v>248</v>
      </c>
      <c r="AM1" s="241"/>
      <c r="AN1" s="242" t="s">
        <v>38</v>
      </c>
      <c r="AO1" s="243"/>
      <c r="AP1" s="244" t="s">
        <v>39</v>
      </c>
      <c r="AQ1" s="245"/>
    </row>
    <row r="2" spans="1:43" s="83" customFormat="1" ht="14.25" customHeight="1">
      <c r="A2" s="72"/>
      <c r="B2" s="81" t="s">
        <v>245</v>
      </c>
      <c r="C2" s="81" t="s">
        <v>246</v>
      </c>
      <c r="D2" s="81" t="s">
        <v>245</v>
      </c>
      <c r="E2" s="81" t="s">
        <v>246</v>
      </c>
      <c r="F2" s="81" t="s">
        <v>245</v>
      </c>
      <c r="G2" s="81" t="s">
        <v>246</v>
      </c>
      <c r="H2" s="81" t="s">
        <v>245</v>
      </c>
      <c r="I2" s="81" t="s">
        <v>246</v>
      </c>
      <c r="J2" s="81" t="s">
        <v>245</v>
      </c>
      <c r="K2" s="81" t="s">
        <v>246</v>
      </c>
      <c r="L2" s="82" t="s">
        <v>245</v>
      </c>
      <c r="M2" s="82" t="s">
        <v>246</v>
      </c>
      <c r="N2" s="81" t="s">
        <v>245</v>
      </c>
      <c r="O2" s="81" t="s">
        <v>246</v>
      </c>
      <c r="P2" s="81" t="s">
        <v>245</v>
      </c>
      <c r="Q2" s="81" t="s">
        <v>246</v>
      </c>
      <c r="R2" s="81" t="s">
        <v>245</v>
      </c>
      <c r="S2" s="81" t="s">
        <v>246</v>
      </c>
      <c r="T2" s="81" t="s">
        <v>245</v>
      </c>
      <c r="U2" s="81" t="s">
        <v>246</v>
      </c>
      <c r="V2" s="81" t="s">
        <v>245</v>
      </c>
      <c r="W2" s="81" t="s">
        <v>246</v>
      </c>
      <c r="X2" s="81" t="s">
        <v>245</v>
      </c>
      <c r="Y2" s="81" t="s">
        <v>246</v>
      </c>
      <c r="Z2" s="81" t="s">
        <v>245</v>
      </c>
      <c r="AA2" s="81" t="s">
        <v>246</v>
      </c>
      <c r="AB2" s="81" t="s">
        <v>245</v>
      </c>
      <c r="AC2" s="81" t="s">
        <v>246</v>
      </c>
      <c r="AD2" s="81" t="s">
        <v>245</v>
      </c>
      <c r="AE2" s="81" t="s">
        <v>246</v>
      </c>
      <c r="AF2" s="81" t="s">
        <v>245</v>
      </c>
      <c r="AG2" s="81" t="s">
        <v>246</v>
      </c>
      <c r="AH2" s="81" t="s">
        <v>245</v>
      </c>
      <c r="AI2" s="81" t="s">
        <v>246</v>
      </c>
      <c r="AJ2" s="81" t="s">
        <v>245</v>
      </c>
      <c r="AK2" s="81" t="s">
        <v>246</v>
      </c>
      <c r="AL2" s="81" t="s">
        <v>245</v>
      </c>
      <c r="AM2" s="81" t="s">
        <v>246</v>
      </c>
      <c r="AN2" s="82" t="s">
        <v>245</v>
      </c>
      <c r="AO2" s="82" t="s">
        <v>246</v>
      </c>
      <c r="AP2" s="127" t="s">
        <v>245</v>
      </c>
      <c r="AQ2" s="127" t="s">
        <v>246</v>
      </c>
    </row>
    <row r="3" spans="1:43" ht="10.5">
      <c r="A3" s="73" t="s">
        <v>40</v>
      </c>
      <c r="B3" s="21">
        <v>0</v>
      </c>
      <c r="C3" s="21"/>
      <c r="D3" s="21">
        <v>746</v>
      </c>
      <c r="E3" s="21">
        <v>899</v>
      </c>
      <c r="F3" s="21">
        <v>0</v>
      </c>
      <c r="G3" s="21"/>
      <c r="H3" s="21"/>
      <c r="I3" s="21"/>
      <c r="J3" s="21"/>
      <c r="K3" s="21"/>
      <c r="L3" s="41">
        <f aca="true" t="shared" si="0" ref="L3:M5">B3+D3+F3+H3+J3</f>
        <v>746</v>
      </c>
      <c r="M3" s="41">
        <f t="shared" si="0"/>
        <v>899</v>
      </c>
      <c r="N3" s="21">
        <v>6060</v>
      </c>
      <c r="O3" s="21">
        <v>2290</v>
      </c>
      <c r="P3" s="21"/>
      <c r="Q3" s="21"/>
      <c r="R3" s="21">
        <v>13300</v>
      </c>
      <c r="S3" s="21">
        <v>7922</v>
      </c>
      <c r="T3" s="21"/>
      <c r="U3" s="21"/>
      <c r="V3" s="21">
        <v>3934</v>
      </c>
      <c r="W3" s="21">
        <v>1477</v>
      </c>
      <c r="X3" s="21">
        <v>6623</v>
      </c>
      <c r="Y3" s="21">
        <v>2534</v>
      </c>
      <c r="Z3" s="21">
        <v>3572</v>
      </c>
      <c r="AA3" s="21">
        <v>2024</v>
      </c>
      <c r="AB3" s="21">
        <v>4941</v>
      </c>
      <c r="AC3" s="21">
        <v>2650</v>
      </c>
      <c r="AD3" s="21">
        <v>2142</v>
      </c>
      <c r="AE3" s="21">
        <v>1356</v>
      </c>
      <c r="AF3" s="21"/>
      <c r="AG3" s="21"/>
      <c r="AH3" s="21"/>
      <c r="AI3" s="21"/>
      <c r="AJ3" s="21">
        <v>9266</v>
      </c>
      <c r="AK3" s="21">
        <v>4691</v>
      </c>
      <c r="AL3" s="21"/>
      <c r="AM3" s="21"/>
      <c r="AN3" s="41">
        <f aca="true" t="shared" si="1" ref="AN3:AO5">N3+P3+R3+T3+V3+X3+Z3+AB3+AD3+AF3+AH3+AJ3+AL3</f>
        <v>49838</v>
      </c>
      <c r="AO3" s="41">
        <f t="shared" si="1"/>
        <v>24944</v>
      </c>
      <c r="AP3" s="70">
        <f>L3+AN3</f>
        <v>50584</v>
      </c>
      <c r="AQ3" s="70">
        <f>M3+AO3</f>
        <v>25843</v>
      </c>
    </row>
    <row r="4" spans="1:43" ht="10.5">
      <c r="A4" s="73" t="s">
        <v>153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1">
        <f t="shared" si="0"/>
        <v>0</v>
      </c>
      <c r="M4" s="41">
        <f t="shared" si="0"/>
        <v>0</v>
      </c>
      <c r="N4" s="21">
        <v>219</v>
      </c>
      <c r="O4" s="21"/>
      <c r="P4" s="21"/>
      <c r="Q4" s="21"/>
      <c r="R4" s="21">
        <v>2653</v>
      </c>
      <c r="S4" s="21"/>
      <c r="T4" s="21"/>
      <c r="U4" s="21"/>
      <c r="V4" s="21"/>
      <c r="W4" s="21"/>
      <c r="X4" s="21"/>
      <c r="Y4" s="21"/>
      <c r="Z4" s="21">
        <v>514</v>
      </c>
      <c r="AA4" s="21"/>
      <c r="AB4" s="21">
        <v>717</v>
      </c>
      <c r="AC4" s="21"/>
      <c r="AD4" s="21">
        <v>582</v>
      </c>
      <c r="AE4" s="21"/>
      <c r="AF4" s="21"/>
      <c r="AG4" s="21"/>
      <c r="AH4" s="21"/>
      <c r="AI4" s="21"/>
      <c r="AJ4" s="21">
        <v>488</v>
      </c>
      <c r="AK4" s="21"/>
      <c r="AL4" s="21"/>
      <c r="AM4" s="21"/>
      <c r="AN4" s="41">
        <f t="shared" si="1"/>
        <v>5173</v>
      </c>
      <c r="AO4" s="41">
        <f t="shared" si="1"/>
        <v>0</v>
      </c>
      <c r="AP4" s="70">
        <f>L4+AN4</f>
        <v>5173</v>
      </c>
      <c r="AQ4" s="70">
        <f aca="true" t="shared" si="2" ref="AQ4:AQ12">M4+AO4</f>
        <v>0</v>
      </c>
    </row>
    <row r="5" spans="1:43" ht="10.5">
      <c r="A5" s="73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41">
        <f t="shared" si="0"/>
        <v>0</v>
      </c>
      <c r="M5" s="41">
        <f t="shared" si="0"/>
        <v>0</v>
      </c>
      <c r="N5" s="21"/>
      <c r="O5" s="21"/>
      <c r="P5" s="21"/>
      <c r="Q5" s="21"/>
      <c r="R5" s="21">
        <v>200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1344</v>
      </c>
      <c r="AK5" s="21"/>
      <c r="AL5" s="21"/>
      <c r="AM5" s="21"/>
      <c r="AN5" s="41">
        <f t="shared" si="1"/>
        <v>1544</v>
      </c>
      <c r="AO5" s="41">
        <f t="shared" si="1"/>
        <v>0</v>
      </c>
      <c r="AP5" s="70">
        <f>L5+AN5</f>
        <v>1544</v>
      </c>
      <c r="AQ5" s="70">
        <f t="shared" si="2"/>
        <v>0</v>
      </c>
    </row>
    <row r="6" spans="1:43" s="19" customFormat="1" ht="9">
      <c r="A6" s="74" t="s">
        <v>43</v>
      </c>
      <c r="B6" s="25">
        <f>SUM(B3:B5)</f>
        <v>0</v>
      </c>
      <c r="C6" s="25">
        <f aca="true" t="shared" si="3" ref="C6:M6">SUM(C3:C5)</f>
        <v>0</v>
      </c>
      <c r="D6" s="25">
        <f t="shared" si="3"/>
        <v>746</v>
      </c>
      <c r="E6" s="25">
        <f t="shared" si="3"/>
        <v>899</v>
      </c>
      <c r="F6" s="25">
        <f t="shared" si="3"/>
        <v>0</v>
      </c>
      <c r="G6" s="25">
        <f t="shared" si="3"/>
        <v>0</v>
      </c>
      <c r="H6" s="25">
        <f t="shared" si="3"/>
        <v>0</v>
      </c>
      <c r="I6" s="25">
        <f t="shared" si="3"/>
        <v>0</v>
      </c>
      <c r="J6" s="25">
        <f t="shared" si="3"/>
        <v>0</v>
      </c>
      <c r="K6" s="25">
        <f t="shared" si="3"/>
        <v>0</v>
      </c>
      <c r="L6" s="42">
        <f t="shared" si="3"/>
        <v>746</v>
      </c>
      <c r="M6" s="42">
        <f t="shared" si="3"/>
        <v>899</v>
      </c>
      <c r="N6" s="25">
        <f aca="true" t="shared" si="4" ref="N6:AQ6">SUM(N3:N5)</f>
        <v>6279</v>
      </c>
      <c r="O6" s="25">
        <f t="shared" si="4"/>
        <v>2290</v>
      </c>
      <c r="P6" s="25">
        <f t="shared" si="4"/>
        <v>0</v>
      </c>
      <c r="Q6" s="25">
        <f t="shared" si="4"/>
        <v>0</v>
      </c>
      <c r="R6" s="25">
        <f t="shared" si="4"/>
        <v>16153</v>
      </c>
      <c r="S6" s="25">
        <f t="shared" si="4"/>
        <v>7922</v>
      </c>
      <c r="T6" s="25">
        <f t="shared" si="4"/>
        <v>0</v>
      </c>
      <c r="U6" s="25">
        <f t="shared" si="4"/>
        <v>0</v>
      </c>
      <c r="V6" s="25">
        <f t="shared" si="4"/>
        <v>3934</v>
      </c>
      <c r="W6" s="25">
        <f t="shared" si="4"/>
        <v>1477</v>
      </c>
      <c r="X6" s="25">
        <f t="shared" si="4"/>
        <v>6623</v>
      </c>
      <c r="Y6" s="25">
        <f t="shared" si="4"/>
        <v>2534</v>
      </c>
      <c r="Z6" s="25">
        <f t="shared" si="4"/>
        <v>4086</v>
      </c>
      <c r="AA6" s="25">
        <f t="shared" si="4"/>
        <v>2024</v>
      </c>
      <c r="AB6" s="25">
        <f t="shared" si="4"/>
        <v>5658</v>
      </c>
      <c r="AC6" s="25">
        <f t="shared" si="4"/>
        <v>2650</v>
      </c>
      <c r="AD6" s="25">
        <f t="shared" si="4"/>
        <v>2724</v>
      </c>
      <c r="AE6" s="25">
        <f t="shared" si="4"/>
        <v>1356</v>
      </c>
      <c r="AF6" s="25">
        <f t="shared" si="4"/>
        <v>0</v>
      </c>
      <c r="AG6" s="25">
        <f t="shared" si="4"/>
        <v>0</v>
      </c>
      <c r="AH6" s="25">
        <f t="shared" si="4"/>
        <v>0</v>
      </c>
      <c r="AI6" s="25">
        <f t="shared" si="4"/>
        <v>0</v>
      </c>
      <c r="AJ6" s="25">
        <f t="shared" si="4"/>
        <v>11098</v>
      </c>
      <c r="AK6" s="25">
        <f t="shared" si="4"/>
        <v>4691</v>
      </c>
      <c r="AL6" s="25">
        <f>SUM(AL3:AL5)</f>
        <v>0</v>
      </c>
      <c r="AM6" s="25">
        <f>SUM(AM3:AM5)</f>
        <v>0</v>
      </c>
      <c r="AN6" s="42">
        <f t="shared" si="4"/>
        <v>56555</v>
      </c>
      <c r="AO6" s="42">
        <f t="shared" si="4"/>
        <v>24944</v>
      </c>
      <c r="AP6" s="128">
        <f t="shared" si="4"/>
        <v>57301</v>
      </c>
      <c r="AQ6" s="128">
        <f t="shared" si="4"/>
        <v>25843</v>
      </c>
    </row>
    <row r="7" spans="1:43" ht="10.5">
      <c r="A7" s="73" t="s">
        <v>44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41">
        <f aca="true" t="shared" si="5" ref="L7:M12">B7+D7+F7+H7+J7</f>
        <v>0</v>
      </c>
      <c r="M7" s="41">
        <f t="shared" si="5"/>
        <v>0</v>
      </c>
      <c r="N7" s="21">
        <v>720</v>
      </c>
      <c r="O7" s="21">
        <v>310</v>
      </c>
      <c r="P7" s="21"/>
      <c r="Q7" s="21"/>
      <c r="R7" s="21">
        <v>240</v>
      </c>
      <c r="S7" s="21">
        <v>120</v>
      </c>
      <c r="T7" s="21"/>
      <c r="U7" s="21"/>
      <c r="V7" s="21">
        <v>120</v>
      </c>
      <c r="W7" s="21">
        <v>289</v>
      </c>
      <c r="X7" s="21">
        <v>420</v>
      </c>
      <c r="Y7" s="21">
        <v>207</v>
      </c>
      <c r="Z7" s="21">
        <v>240</v>
      </c>
      <c r="AA7" s="21">
        <v>118</v>
      </c>
      <c r="AB7" s="21">
        <v>240</v>
      </c>
      <c r="AC7" s="21">
        <v>100</v>
      </c>
      <c r="AD7" s="21">
        <v>240</v>
      </c>
      <c r="AE7" s="21">
        <v>120</v>
      </c>
      <c r="AF7" s="21"/>
      <c r="AG7" s="21"/>
      <c r="AH7" s="21"/>
      <c r="AI7" s="21"/>
      <c r="AJ7" s="21"/>
      <c r="AK7" s="21"/>
      <c r="AL7" s="21"/>
      <c r="AM7" s="21"/>
      <c r="AN7" s="41">
        <f aca="true" t="shared" si="6" ref="AN7:AO10">N7+P7+R7+T7+V7+X7+Z7+AB7+AD7+AF7+AH7+AJ7+AL7</f>
        <v>2220</v>
      </c>
      <c r="AO7" s="41">
        <f t="shared" si="6"/>
        <v>1264</v>
      </c>
      <c r="AP7" s="70">
        <f>L7+AN7</f>
        <v>2220</v>
      </c>
      <c r="AQ7" s="70">
        <f t="shared" si="2"/>
        <v>1264</v>
      </c>
    </row>
    <row r="8" spans="1:43" ht="10.5">
      <c r="A8" s="73" t="s">
        <v>40</v>
      </c>
      <c r="B8" s="21">
        <v>0</v>
      </c>
      <c r="C8" s="21"/>
      <c r="D8" s="21"/>
      <c r="E8" s="21">
        <v>81</v>
      </c>
      <c r="F8" s="21"/>
      <c r="G8" s="21"/>
      <c r="H8" s="21"/>
      <c r="I8" s="21"/>
      <c r="J8" s="21">
        <v>122</v>
      </c>
      <c r="K8" s="21">
        <v>179</v>
      </c>
      <c r="L8" s="41">
        <f t="shared" si="5"/>
        <v>122</v>
      </c>
      <c r="M8" s="41">
        <f t="shared" si="5"/>
        <v>260</v>
      </c>
      <c r="N8" s="21">
        <v>495</v>
      </c>
      <c r="O8" s="21">
        <v>291</v>
      </c>
      <c r="P8" s="21">
        <v>941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>
        <v>139</v>
      </c>
      <c r="AL8" s="21"/>
      <c r="AM8" s="21">
        <v>687</v>
      </c>
      <c r="AN8" s="41">
        <f t="shared" si="6"/>
        <v>1436</v>
      </c>
      <c r="AO8" s="41">
        <f t="shared" si="6"/>
        <v>1117</v>
      </c>
      <c r="AP8" s="70">
        <f>L8+AN8</f>
        <v>1558</v>
      </c>
      <c r="AQ8" s="70">
        <f t="shared" si="2"/>
        <v>1377</v>
      </c>
    </row>
    <row r="9" spans="1:43" ht="10.5">
      <c r="A9" s="73" t="s">
        <v>41</v>
      </c>
      <c r="B9" s="21">
        <v>0</v>
      </c>
      <c r="C9" s="21"/>
      <c r="D9" s="21"/>
      <c r="E9" s="21"/>
      <c r="F9" s="21"/>
      <c r="G9" s="21"/>
      <c r="H9" s="21"/>
      <c r="I9" s="21"/>
      <c r="J9" s="21"/>
      <c r="K9" s="21"/>
      <c r="L9" s="41">
        <f t="shared" si="5"/>
        <v>0</v>
      </c>
      <c r="M9" s="41">
        <f t="shared" si="5"/>
        <v>0</v>
      </c>
      <c r="N9" s="21"/>
      <c r="O9" s="21"/>
      <c r="P9" s="21"/>
      <c r="Q9" s="21"/>
      <c r="R9" s="21">
        <v>2765</v>
      </c>
      <c r="S9" s="21">
        <v>2305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>
        <f t="shared" si="6"/>
        <v>2765</v>
      </c>
      <c r="AO9" s="41">
        <f t="shared" si="6"/>
        <v>2305</v>
      </c>
      <c r="AP9" s="70">
        <f>L9+AN9</f>
        <v>2765</v>
      </c>
      <c r="AQ9" s="70">
        <f t="shared" si="2"/>
        <v>2305</v>
      </c>
    </row>
    <row r="10" spans="1:43" ht="10.5">
      <c r="A10" s="73" t="s">
        <v>42</v>
      </c>
      <c r="B10" s="21"/>
      <c r="C10" s="21"/>
      <c r="D10" s="21"/>
      <c r="E10" s="21"/>
      <c r="F10" s="21"/>
      <c r="G10" s="21"/>
      <c r="H10" s="21"/>
      <c r="I10" s="21"/>
      <c r="J10" s="21">
        <v>17</v>
      </c>
      <c r="K10" s="21"/>
      <c r="L10" s="41">
        <f t="shared" si="5"/>
        <v>17</v>
      </c>
      <c r="M10" s="41">
        <f t="shared" si="5"/>
        <v>0</v>
      </c>
      <c r="N10" s="21">
        <v>91</v>
      </c>
      <c r="O10" s="21"/>
      <c r="P10" s="21"/>
      <c r="Q10" s="21"/>
      <c r="R10" s="21">
        <v>980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41">
        <f t="shared" si="6"/>
        <v>1071</v>
      </c>
      <c r="AO10" s="41">
        <f t="shared" si="6"/>
        <v>0</v>
      </c>
      <c r="AP10" s="70">
        <f>L10+AN10</f>
        <v>1088</v>
      </c>
      <c r="AQ10" s="70">
        <f>M10+AO10</f>
        <v>0</v>
      </c>
    </row>
    <row r="11" spans="1:43" ht="10.5">
      <c r="A11" s="73" t="s">
        <v>225</v>
      </c>
      <c r="B11" s="21">
        <f>SUM(B8:B10)</f>
        <v>0</v>
      </c>
      <c r="C11" s="21"/>
      <c r="D11" s="21">
        <f>SUM(D8:D10)</f>
        <v>0</v>
      </c>
      <c r="E11" s="21">
        <f>SUM(E8:E10)</f>
        <v>81</v>
      </c>
      <c r="F11" s="21">
        <f>SUM(F8:F10)</f>
        <v>0</v>
      </c>
      <c r="G11" s="21"/>
      <c r="H11" s="21">
        <f>SUM(H8:H10)</f>
        <v>0</v>
      </c>
      <c r="I11" s="21"/>
      <c r="J11" s="21">
        <f>SUM(J8:J10)</f>
        <v>139</v>
      </c>
      <c r="K11" s="21">
        <f>SUM(K8:K10)</f>
        <v>179</v>
      </c>
      <c r="L11" s="41">
        <f t="shared" si="5"/>
        <v>139</v>
      </c>
      <c r="M11" s="41">
        <f t="shared" si="5"/>
        <v>260</v>
      </c>
      <c r="N11" s="21">
        <f>SUM(N8:N10)</f>
        <v>586</v>
      </c>
      <c r="O11" s="21">
        <f aca="true" t="shared" si="7" ref="O11:AO11">SUM(O8:O10)</f>
        <v>291</v>
      </c>
      <c r="P11" s="21">
        <f t="shared" si="7"/>
        <v>941</v>
      </c>
      <c r="Q11" s="21">
        <f t="shared" si="7"/>
        <v>0</v>
      </c>
      <c r="R11" s="21">
        <f t="shared" si="7"/>
        <v>3745</v>
      </c>
      <c r="S11" s="21">
        <f t="shared" si="7"/>
        <v>2305</v>
      </c>
      <c r="T11" s="21">
        <f t="shared" si="7"/>
        <v>0</v>
      </c>
      <c r="U11" s="21">
        <f t="shared" si="7"/>
        <v>0</v>
      </c>
      <c r="V11" s="21">
        <f t="shared" si="7"/>
        <v>0</v>
      </c>
      <c r="W11" s="21">
        <f t="shared" si="7"/>
        <v>0</v>
      </c>
      <c r="X11" s="21">
        <f t="shared" si="7"/>
        <v>0</v>
      </c>
      <c r="Y11" s="21">
        <f t="shared" si="7"/>
        <v>0</v>
      </c>
      <c r="Z11" s="21">
        <f t="shared" si="7"/>
        <v>0</v>
      </c>
      <c r="AA11" s="21">
        <f t="shared" si="7"/>
        <v>0</v>
      </c>
      <c r="AB11" s="21">
        <f t="shared" si="7"/>
        <v>0</v>
      </c>
      <c r="AC11" s="21">
        <f t="shared" si="7"/>
        <v>0</v>
      </c>
      <c r="AD11" s="21">
        <f t="shared" si="7"/>
        <v>0</v>
      </c>
      <c r="AE11" s="21">
        <f t="shared" si="7"/>
        <v>0</v>
      </c>
      <c r="AF11" s="21">
        <f t="shared" si="7"/>
        <v>0</v>
      </c>
      <c r="AG11" s="21">
        <f t="shared" si="7"/>
        <v>0</v>
      </c>
      <c r="AH11" s="21">
        <f t="shared" si="7"/>
        <v>0</v>
      </c>
      <c r="AI11" s="21">
        <f t="shared" si="7"/>
        <v>0</v>
      </c>
      <c r="AJ11" s="21">
        <f t="shared" si="7"/>
        <v>0</v>
      </c>
      <c r="AK11" s="21">
        <f t="shared" si="7"/>
        <v>139</v>
      </c>
      <c r="AL11" s="21">
        <f>SUM(AL8:AL10)</f>
        <v>0</v>
      </c>
      <c r="AM11" s="21">
        <f>SUM(AM8:AM10)</f>
        <v>687</v>
      </c>
      <c r="AN11" s="41">
        <f t="shared" si="7"/>
        <v>5272</v>
      </c>
      <c r="AO11" s="41">
        <f t="shared" si="7"/>
        <v>3422</v>
      </c>
      <c r="AP11" s="70">
        <f>SUM(AP8:AP10)</f>
        <v>5411</v>
      </c>
      <c r="AQ11" s="70">
        <f>SUM(AQ8:AQ10)</f>
        <v>3682</v>
      </c>
    </row>
    <row r="12" spans="1:43" s="44" customFormat="1" ht="10.5">
      <c r="A12" s="75" t="s">
        <v>45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1">
        <f t="shared" si="5"/>
        <v>0</v>
      </c>
      <c r="M12" s="41">
        <f t="shared" si="5"/>
        <v>0</v>
      </c>
      <c r="N12" s="43">
        <v>-7585</v>
      </c>
      <c r="O12" s="43"/>
      <c r="P12" s="43"/>
      <c r="Q12" s="43"/>
      <c r="R12" s="43">
        <v>152</v>
      </c>
      <c r="S12" s="43"/>
      <c r="T12" s="43"/>
      <c r="U12" s="43"/>
      <c r="V12" s="43">
        <v>76</v>
      </c>
      <c r="W12" s="43"/>
      <c r="X12" s="43">
        <v>76</v>
      </c>
      <c r="Y12" s="43"/>
      <c r="Z12" s="43">
        <v>834</v>
      </c>
      <c r="AA12" s="43"/>
      <c r="AB12" s="43"/>
      <c r="AC12" s="43"/>
      <c r="AD12" s="43">
        <v>16622</v>
      </c>
      <c r="AE12" s="43"/>
      <c r="AF12" s="43">
        <v>650</v>
      </c>
      <c r="AG12" s="43"/>
      <c r="AH12" s="43">
        <v>273</v>
      </c>
      <c r="AI12" s="43"/>
      <c r="AJ12" s="43">
        <v>-11098</v>
      </c>
      <c r="AK12" s="43"/>
      <c r="AL12" s="43"/>
      <c r="AM12" s="43"/>
      <c r="AN12" s="41">
        <f>N12+P12+R12+T12+V12+X12+Z12+AB12+AD12+AF12+AH12+AJ12+AL12</f>
        <v>0</v>
      </c>
      <c r="AO12" s="41">
        <f>O12+Q12+S12+U12+W12+Y12+AA12+AC12+AE12+AG12+AI12+AK12+AM12</f>
        <v>0</v>
      </c>
      <c r="AP12" s="70">
        <f>L12+AN12</f>
        <v>0</v>
      </c>
      <c r="AQ12" s="70">
        <f t="shared" si="2"/>
        <v>0</v>
      </c>
    </row>
    <row r="13" spans="1:43" s="18" customFormat="1" ht="10.5">
      <c r="A13" s="76" t="s">
        <v>46</v>
      </c>
      <c r="B13" s="27">
        <f>B6+B7+B11+B12</f>
        <v>0</v>
      </c>
      <c r="C13" s="27">
        <f aca="true" t="shared" si="8" ref="C13:L13">C6+C7+C11+C12</f>
        <v>0</v>
      </c>
      <c r="D13" s="27">
        <f t="shared" si="8"/>
        <v>746</v>
      </c>
      <c r="E13" s="27">
        <f t="shared" si="8"/>
        <v>980</v>
      </c>
      <c r="F13" s="27">
        <f t="shared" si="8"/>
        <v>0</v>
      </c>
      <c r="G13" s="27">
        <f t="shared" si="8"/>
        <v>0</v>
      </c>
      <c r="H13" s="27">
        <f t="shared" si="8"/>
        <v>0</v>
      </c>
      <c r="I13" s="27">
        <f t="shared" si="8"/>
        <v>0</v>
      </c>
      <c r="J13" s="27">
        <f t="shared" si="8"/>
        <v>139</v>
      </c>
      <c r="K13" s="27">
        <f t="shared" si="8"/>
        <v>179</v>
      </c>
      <c r="L13" s="131">
        <f t="shared" si="8"/>
        <v>885</v>
      </c>
      <c r="M13" s="131">
        <f>M6+M7+M11+M12</f>
        <v>1159</v>
      </c>
      <c r="N13" s="27">
        <f aca="true" t="shared" si="9" ref="N13:AQ13">N6+N7+N11+N12</f>
        <v>0</v>
      </c>
      <c r="O13" s="27">
        <f t="shared" si="9"/>
        <v>2891</v>
      </c>
      <c r="P13" s="27">
        <f t="shared" si="9"/>
        <v>941</v>
      </c>
      <c r="Q13" s="27">
        <f t="shared" si="9"/>
        <v>0</v>
      </c>
      <c r="R13" s="27">
        <f t="shared" si="9"/>
        <v>20290</v>
      </c>
      <c r="S13" s="27">
        <f t="shared" si="9"/>
        <v>10347</v>
      </c>
      <c r="T13" s="27">
        <f t="shared" si="9"/>
        <v>0</v>
      </c>
      <c r="U13" s="27">
        <f t="shared" si="9"/>
        <v>0</v>
      </c>
      <c r="V13" s="27">
        <f t="shared" si="9"/>
        <v>4130</v>
      </c>
      <c r="W13" s="27">
        <f t="shared" si="9"/>
        <v>1766</v>
      </c>
      <c r="X13" s="27">
        <f t="shared" si="9"/>
        <v>7119</v>
      </c>
      <c r="Y13" s="27">
        <f t="shared" si="9"/>
        <v>2741</v>
      </c>
      <c r="Z13" s="27">
        <f t="shared" si="9"/>
        <v>5160</v>
      </c>
      <c r="AA13" s="27">
        <f t="shared" si="9"/>
        <v>2142</v>
      </c>
      <c r="AB13" s="27">
        <f t="shared" si="9"/>
        <v>5898</v>
      </c>
      <c r="AC13" s="27">
        <f t="shared" si="9"/>
        <v>2750</v>
      </c>
      <c r="AD13" s="27">
        <f t="shared" si="9"/>
        <v>19586</v>
      </c>
      <c r="AE13" s="27">
        <f t="shared" si="9"/>
        <v>1476</v>
      </c>
      <c r="AF13" s="27">
        <f t="shared" si="9"/>
        <v>650</v>
      </c>
      <c r="AG13" s="27">
        <f t="shared" si="9"/>
        <v>0</v>
      </c>
      <c r="AH13" s="27">
        <f t="shared" si="9"/>
        <v>273</v>
      </c>
      <c r="AI13" s="27">
        <f t="shared" si="9"/>
        <v>0</v>
      </c>
      <c r="AJ13" s="27">
        <f t="shared" si="9"/>
        <v>0</v>
      </c>
      <c r="AK13" s="27">
        <f t="shared" si="9"/>
        <v>4830</v>
      </c>
      <c r="AL13" s="27">
        <f>AL6+AL7+AL11+AL12</f>
        <v>0</v>
      </c>
      <c r="AM13" s="27">
        <f>AM6+AM7+AM11+AM12</f>
        <v>687</v>
      </c>
      <c r="AN13" s="131">
        <f t="shared" si="9"/>
        <v>64047</v>
      </c>
      <c r="AO13" s="131">
        <f t="shared" si="9"/>
        <v>29630</v>
      </c>
      <c r="AP13" s="129">
        <f t="shared" si="9"/>
        <v>64932</v>
      </c>
      <c r="AQ13" s="129">
        <f t="shared" si="9"/>
        <v>30789</v>
      </c>
    </row>
    <row r="14" spans="1:43" ht="10.5">
      <c r="A14" s="73" t="s">
        <v>47</v>
      </c>
      <c r="B14" s="21"/>
      <c r="C14" s="21"/>
      <c r="D14" s="21"/>
      <c r="E14" s="21">
        <v>16</v>
      </c>
      <c r="F14" s="21"/>
      <c r="G14" s="21"/>
      <c r="H14" s="21"/>
      <c r="I14" s="21"/>
      <c r="J14" s="21"/>
      <c r="K14" s="21"/>
      <c r="L14" s="41">
        <f>B14+D14+F14+H14+J14</f>
        <v>0</v>
      </c>
      <c r="M14" s="41">
        <f>C14+E14+G14+I14+K14</f>
        <v>16</v>
      </c>
      <c r="N14" s="21"/>
      <c r="O14" s="21">
        <v>197</v>
      </c>
      <c r="P14" s="21"/>
      <c r="Q14" s="21"/>
      <c r="R14" s="21"/>
      <c r="S14" s="21">
        <v>239</v>
      </c>
      <c r="T14" s="21"/>
      <c r="U14" s="21"/>
      <c r="V14" s="21"/>
      <c r="W14" s="21">
        <v>226</v>
      </c>
      <c r="X14" s="21"/>
      <c r="Y14" s="21">
        <v>399</v>
      </c>
      <c r="Z14" s="21"/>
      <c r="AA14" s="21">
        <v>210</v>
      </c>
      <c r="AB14" s="21"/>
      <c r="AC14" s="21">
        <v>180</v>
      </c>
      <c r="AD14" s="21"/>
      <c r="AE14" s="21"/>
      <c r="AF14" s="21"/>
      <c r="AG14" s="21"/>
      <c r="AH14" s="21"/>
      <c r="AI14" s="21"/>
      <c r="AJ14" s="21"/>
      <c r="AK14" s="21">
        <v>436</v>
      </c>
      <c r="AL14" s="21"/>
      <c r="AM14" s="21"/>
      <c r="AN14" s="41">
        <f>N14+P14+R14+T14+V14+X14+Z14+AB14+AD14+AF14+AH14+AJ14+AL14</f>
        <v>0</v>
      </c>
      <c r="AO14" s="41">
        <f>O14+Q14+S14+U14+W14+Y14+AA14+AC14+AE14+AG14+AI14+AK14+AM14</f>
        <v>1887</v>
      </c>
      <c r="AP14" s="70">
        <f>L14+AN14</f>
        <v>0</v>
      </c>
      <c r="AQ14" s="70">
        <f>M14+AO14</f>
        <v>1903</v>
      </c>
    </row>
    <row r="15" spans="1:43" ht="10.5">
      <c r="A15" s="73" t="s">
        <v>48</v>
      </c>
      <c r="B15" s="21"/>
      <c r="C15" s="21"/>
      <c r="D15" s="21"/>
      <c r="E15" s="21"/>
      <c r="F15" s="21"/>
      <c r="G15" s="21"/>
      <c r="H15" s="21"/>
      <c r="I15" s="21"/>
      <c r="J15" s="21"/>
      <c r="K15" s="21">
        <v>48</v>
      </c>
      <c r="L15" s="41">
        <f>B15+D15+F15+H15+J15</f>
        <v>0</v>
      </c>
      <c r="M15" s="41">
        <f>C15+E15+G15+I15+K15</f>
        <v>48</v>
      </c>
      <c r="N15" s="21"/>
      <c r="O15" s="21">
        <v>48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41">
        <f>N15+P15+R15+T15+V15+X15+Z15+AB15+AD15+AF15+AH15+AJ15+AL15</f>
        <v>0</v>
      </c>
      <c r="AO15" s="41">
        <f>O15+Q15+S15+U15+W15+Y15+AA15+AC15+AE15+AG15+AI15+AK15+AM15</f>
        <v>48</v>
      </c>
      <c r="AP15" s="70">
        <f>L15+AN15</f>
        <v>0</v>
      </c>
      <c r="AQ15" s="70">
        <f>M15+AO15</f>
        <v>96</v>
      </c>
    </row>
    <row r="16" spans="1:43" s="19" customFormat="1" ht="9">
      <c r="A16" s="74" t="s">
        <v>49</v>
      </c>
      <c r="B16" s="25">
        <f>SUM(B14:B15)</f>
        <v>0</v>
      </c>
      <c r="C16" s="25">
        <f aca="true" t="shared" si="10" ref="C16:M16">SUM(C14:C15)</f>
        <v>0</v>
      </c>
      <c r="D16" s="25">
        <f t="shared" si="10"/>
        <v>0</v>
      </c>
      <c r="E16" s="25">
        <f t="shared" si="10"/>
        <v>16</v>
      </c>
      <c r="F16" s="25">
        <f t="shared" si="10"/>
        <v>0</v>
      </c>
      <c r="G16" s="25">
        <f t="shared" si="10"/>
        <v>0</v>
      </c>
      <c r="H16" s="25">
        <f t="shared" si="10"/>
        <v>0</v>
      </c>
      <c r="I16" s="25">
        <f t="shared" si="10"/>
        <v>0</v>
      </c>
      <c r="J16" s="25">
        <f t="shared" si="10"/>
        <v>0</v>
      </c>
      <c r="K16" s="25">
        <f t="shared" si="10"/>
        <v>48</v>
      </c>
      <c r="L16" s="42">
        <f t="shared" si="10"/>
        <v>0</v>
      </c>
      <c r="M16" s="42">
        <f t="shared" si="10"/>
        <v>64</v>
      </c>
      <c r="N16" s="25">
        <f aca="true" t="shared" si="11" ref="N16:AQ16">SUM(N14:N15)</f>
        <v>0</v>
      </c>
      <c r="O16" s="25">
        <f t="shared" si="11"/>
        <v>245</v>
      </c>
      <c r="P16" s="25">
        <f t="shared" si="11"/>
        <v>0</v>
      </c>
      <c r="Q16" s="25">
        <f t="shared" si="11"/>
        <v>0</v>
      </c>
      <c r="R16" s="25">
        <f t="shared" si="11"/>
        <v>0</v>
      </c>
      <c r="S16" s="25">
        <f t="shared" si="11"/>
        <v>239</v>
      </c>
      <c r="T16" s="25">
        <f t="shared" si="11"/>
        <v>0</v>
      </c>
      <c r="U16" s="25">
        <f t="shared" si="11"/>
        <v>0</v>
      </c>
      <c r="V16" s="25">
        <f t="shared" si="11"/>
        <v>0</v>
      </c>
      <c r="W16" s="25">
        <f t="shared" si="11"/>
        <v>226</v>
      </c>
      <c r="X16" s="25">
        <f t="shared" si="11"/>
        <v>0</v>
      </c>
      <c r="Y16" s="25">
        <f t="shared" si="11"/>
        <v>399</v>
      </c>
      <c r="Z16" s="25">
        <f t="shared" si="11"/>
        <v>0</v>
      </c>
      <c r="AA16" s="25">
        <f t="shared" si="11"/>
        <v>210</v>
      </c>
      <c r="AB16" s="25">
        <f t="shared" si="11"/>
        <v>0</v>
      </c>
      <c r="AC16" s="25">
        <f t="shared" si="11"/>
        <v>180</v>
      </c>
      <c r="AD16" s="25">
        <f t="shared" si="11"/>
        <v>0</v>
      </c>
      <c r="AE16" s="25">
        <f t="shared" si="11"/>
        <v>0</v>
      </c>
      <c r="AF16" s="25">
        <f t="shared" si="11"/>
        <v>0</v>
      </c>
      <c r="AG16" s="25">
        <f t="shared" si="11"/>
        <v>0</v>
      </c>
      <c r="AH16" s="25">
        <f t="shared" si="11"/>
        <v>0</v>
      </c>
      <c r="AI16" s="25">
        <f t="shared" si="11"/>
        <v>0</v>
      </c>
      <c r="AJ16" s="25">
        <f t="shared" si="11"/>
        <v>0</v>
      </c>
      <c r="AK16" s="25">
        <f t="shared" si="11"/>
        <v>436</v>
      </c>
      <c r="AL16" s="25">
        <f>SUM(AL14:AL15)</f>
        <v>0</v>
      </c>
      <c r="AM16" s="25">
        <f>SUM(AM14:AM15)</f>
        <v>0</v>
      </c>
      <c r="AN16" s="42">
        <f t="shared" si="11"/>
        <v>0</v>
      </c>
      <c r="AO16" s="42">
        <f t="shared" si="11"/>
        <v>1935</v>
      </c>
      <c r="AP16" s="128">
        <f t="shared" si="11"/>
        <v>0</v>
      </c>
      <c r="AQ16" s="128">
        <f t="shared" si="11"/>
        <v>1999</v>
      </c>
    </row>
    <row r="17" spans="1:43" ht="10.5">
      <c r="A17" s="73" t="s">
        <v>226</v>
      </c>
      <c r="B17" s="21"/>
      <c r="C17" s="21"/>
      <c r="D17" s="21">
        <v>1492</v>
      </c>
      <c r="E17" s="21">
        <v>1492</v>
      </c>
      <c r="F17" s="21"/>
      <c r="G17" s="21"/>
      <c r="H17" s="21"/>
      <c r="I17" s="21"/>
      <c r="J17" s="21"/>
      <c r="K17" s="21"/>
      <c r="L17" s="41">
        <f aca="true" t="shared" si="12" ref="L17:M19">B17+D17+F17+H17+J17</f>
        <v>1492</v>
      </c>
      <c r="M17" s="41">
        <f t="shared" si="12"/>
        <v>1492</v>
      </c>
      <c r="N17" s="21"/>
      <c r="O17" s="21"/>
      <c r="P17" s="21"/>
      <c r="Q17" s="2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>
        <f aca="true" t="shared" si="13" ref="AN17:AO19">N17+P17+R17+T17+V17+X17+Z17+AB17+AD17+AF17+AH17+AJ17+AL17</f>
        <v>0</v>
      </c>
      <c r="AO17" s="41">
        <f t="shared" si="13"/>
        <v>0</v>
      </c>
      <c r="AP17" s="70">
        <f aca="true" t="shared" si="14" ref="AP17:AQ19">L17+AN17</f>
        <v>1492</v>
      </c>
      <c r="AQ17" s="70">
        <f t="shared" si="14"/>
        <v>1492</v>
      </c>
    </row>
    <row r="18" spans="1:43" ht="10.5">
      <c r="A18" s="73" t="s">
        <v>50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1">
        <f t="shared" si="12"/>
        <v>0</v>
      </c>
      <c r="M18" s="41">
        <f t="shared" si="12"/>
        <v>0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228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41">
        <f t="shared" si="13"/>
        <v>228</v>
      </c>
      <c r="AO18" s="41">
        <f t="shared" si="13"/>
        <v>0</v>
      </c>
      <c r="AP18" s="70">
        <f t="shared" si="14"/>
        <v>228</v>
      </c>
      <c r="AQ18" s="70">
        <f t="shared" si="14"/>
        <v>0</v>
      </c>
    </row>
    <row r="19" spans="1:43" ht="10.5">
      <c r="A19" s="73" t="s">
        <v>51</v>
      </c>
      <c r="B19" s="21"/>
      <c r="C19" s="21"/>
      <c r="D19" s="21">
        <v>10</v>
      </c>
      <c r="E19" s="21">
        <v>2</v>
      </c>
      <c r="F19" s="21"/>
      <c r="G19" s="21"/>
      <c r="H19" s="21"/>
      <c r="I19" s="21"/>
      <c r="J19" s="21"/>
      <c r="K19" s="21"/>
      <c r="L19" s="41">
        <f t="shared" si="12"/>
        <v>10</v>
      </c>
      <c r="M19" s="41">
        <f t="shared" si="12"/>
        <v>2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41">
        <f t="shared" si="13"/>
        <v>0</v>
      </c>
      <c r="AO19" s="41">
        <f t="shared" si="13"/>
        <v>0</v>
      </c>
      <c r="AP19" s="70">
        <f t="shared" si="14"/>
        <v>10</v>
      </c>
      <c r="AQ19" s="70">
        <f t="shared" si="14"/>
        <v>2</v>
      </c>
    </row>
    <row r="20" spans="1:43" s="19" customFormat="1" ht="9">
      <c r="A20" s="74" t="s">
        <v>52</v>
      </c>
      <c r="B20" s="25">
        <f>SUM(B17:B19)</f>
        <v>0</v>
      </c>
      <c r="C20" s="25">
        <f aca="true" t="shared" si="15" ref="C20:M20">SUM(C17:C19)</f>
        <v>0</v>
      </c>
      <c r="D20" s="25">
        <f t="shared" si="15"/>
        <v>1502</v>
      </c>
      <c r="E20" s="25">
        <f t="shared" si="15"/>
        <v>1494</v>
      </c>
      <c r="F20" s="25">
        <f t="shared" si="15"/>
        <v>0</v>
      </c>
      <c r="G20" s="25">
        <f t="shared" si="15"/>
        <v>0</v>
      </c>
      <c r="H20" s="25">
        <f t="shared" si="15"/>
        <v>0</v>
      </c>
      <c r="I20" s="25">
        <f t="shared" si="15"/>
        <v>0</v>
      </c>
      <c r="J20" s="25">
        <f t="shared" si="15"/>
        <v>0</v>
      </c>
      <c r="K20" s="25">
        <f t="shared" si="15"/>
        <v>0</v>
      </c>
      <c r="L20" s="42">
        <f t="shared" si="15"/>
        <v>1502</v>
      </c>
      <c r="M20" s="42">
        <f t="shared" si="15"/>
        <v>1494</v>
      </c>
      <c r="N20" s="25">
        <f aca="true" t="shared" si="16" ref="N20:AQ20">SUM(N17:N19)</f>
        <v>0</v>
      </c>
      <c r="O20" s="25">
        <f t="shared" si="16"/>
        <v>0</v>
      </c>
      <c r="P20" s="25">
        <f t="shared" si="16"/>
        <v>0</v>
      </c>
      <c r="Q20" s="25">
        <f t="shared" si="16"/>
        <v>0</v>
      </c>
      <c r="R20" s="25">
        <f t="shared" si="16"/>
        <v>0</v>
      </c>
      <c r="S20" s="25">
        <f t="shared" si="16"/>
        <v>0</v>
      </c>
      <c r="T20" s="25">
        <f t="shared" si="16"/>
        <v>0</v>
      </c>
      <c r="U20" s="25">
        <f t="shared" si="16"/>
        <v>0</v>
      </c>
      <c r="V20" s="25">
        <f t="shared" si="16"/>
        <v>0</v>
      </c>
      <c r="W20" s="25">
        <f t="shared" si="16"/>
        <v>0</v>
      </c>
      <c r="X20" s="25">
        <f t="shared" si="16"/>
        <v>0</v>
      </c>
      <c r="Y20" s="25">
        <f t="shared" si="16"/>
        <v>0</v>
      </c>
      <c r="Z20" s="25">
        <f t="shared" si="16"/>
        <v>228</v>
      </c>
      <c r="AA20" s="25">
        <f t="shared" si="16"/>
        <v>0</v>
      </c>
      <c r="AB20" s="25">
        <f t="shared" si="16"/>
        <v>0</v>
      </c>
      <c r="AC20" s="25">
        <f t="shared" si="16"/>
        <v>0</v>
      </c>
      <c r="AD20" s="25">
        <f t="shared" si="16"/>
        <v>0</v>
      </c>
      <c r="AE20" s="25">
        <f t="shared" si="16"/>
        <v>0</v>
      </c>
      <c r="AF20" s="25">
        <f t="shared" si="16"/>
        <v>0</v>
      </c>
      <c r="AG20" s="25">
        <f t="shared" si="16"/>
        <v>0</v>
      </c>
      <c r="AH20" s="25">
        <f t="shared" si="16"/>
        <v>0</v>
      </c>
      <c r="AI20" s="25">
        <f t="shared" si="16"/>
        <v>0</v>
      </c>
      <c r="AJ20" s="25">
        <f t="shared" si="16"/>
        <v>0</v>
      </c>
      <c r="AK20" s="25">
        <f t="shared" si="16"/>
        <v>0</v>
      </c>
      <c r="AL20" s="25">
        <f>SUM(AL17:AL19)</f>
        <v>0</v>
      </c>
      <c r="AM20" s="25">
        <f>SUM(AM17:AM19)</f>
        <v>0</v>
      </c>
      <c r="AN20" s="42">
        <f t="shared" si="16"/>
        <v>228</v>
      </c>
      <c r="AO20" s="42">
        <f t="shared" si="16"/>
        <v>0</v>
      </c>
      <c r="AP20" s="128">
        <f t="shared" si="16"/>
        <v>1730</v>
      </c>
      <c r="AQ20" s="128">
        <f t="shared" si="16"/>
        <v>1494</v>
      </c>
    </row>
    <row r="21" spans="1:43" ht="10.5">
      <c r="A21" s="73" t="s">
        <v>53</v>
      </c>
      <c r="B21" s="21">
        <v>0</v>
      </c>
      <c r="C21" s="21"/>
      <c r="D21" s="21">
        <v>30</v>
      </c>
      <c r="E21" s="21">
        <v>29</v>
      </c>
      <c r="F21" s="21"/>
      <c r="G21" s="21"/>
      <c r="H21" s="21"/>
      <c r="I21" s="21"/>
      <c r="J21" s="21"/>
      <c r="K21" s="21"/>
      <c r="L21" s="41">
        <f aca="true" t="shared" si="17" ref="L21:M25">B21+D21+F21+H21+J21</f>
        <v>30</v>
      </c>
      <c r="M21" s="41">
        <f t="shared" si="17"/>
        <v>29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41">
        <f aca="true" t="shared" si="18" ref="AN21:AO25">N21+P21+R21+T21+V21+X21+Z21+AB21+AD21+AF21+AH21+AJ21+AL21</f>
        <v>0</v>
      </c>
      <c r="AO21" s="41">
        <f t="shared" si="18"/>
        <v>0</v>
      </c>
      <c r="AP21" s="70">
        <f aca="true" t="shared" si="19" ref="AP21:AQ25">L21+AN21</f>
        <v>30</v>
      </c>
      <c r="AQ21" s="70">
        <f t="shared" si="19"/>
        <v>29</v>
      </c>
    </row>
    <row r="22" spans="1:43" ht="10.5">
      <c r="A22" s="73" t="s">
        <v>54</v>
      </c>
      <c r="B22" s="21"/>
      <c r="C22" s="21"/>
      <c r="D22" s="21">
        <v>5</v>
      </c>
      <c r="E22" s="21">
        <v>0</v>
      </c>
      <c r="F22" s="21"/>
      <c r="G22" s="21"/>
      <c r="H22" s="21"/>
      <c r="I22" s="21"/>
      <c r="J22" s="21"/>
      <c r="K22" s="21"/>
      <c r="L22" s="41">
        <f t="shared" si="17"/>
        <v>5</v>
      </c>
      <c r="M22" s="41">
        <f t="shared" si="17"/>
        <v>0</v>
      </c>
      <c r="N22" s="21"/>
      <c r="O22" s="21"/>
      <c r="P22" s="21"/>
      <c r="Q22" s="21"/>
      <c r="R22" s="21"/>
      <c r="S22" s="21"/>
      <c r="T22" s="21"/>
      <c r="U22" s="21"/>
      <c r="V22" s="21">
        <v>162</v>
      </c>
      <c r="W22" s="21">
        <v>3</v>
      </c>
      <c r="X22" s="21">
        <v>162</v>
      </c>
      <c r="Y22" s="21">
        <v>27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204</v>
      </c>
      <c r="AK22" s="21">
        <v>199</v>
      </c>
      <c r="AL22" s="21"/>
      <c r="AM22" s="21"/>
      <c r="AN22" s="41">
        <f t="shared" si="18"/>
        <v>528</v>
      </c>
      <c r="AO22" s="41">
        <f t="shared" si="18"/>
        <v>229</v>
      </c>
      <c r="AP22" s="70">
        <f t="shared" si="19"/>
        <v>533</v>
      </c>
      <c r="AQ22" s="70">
        <f t="shared" si="19"/>
        <v>229</v>
      </c>
    </row>
    <row r="23" spans="1:43" ht="10.5">
      <c r="A23" s="73" t="s">
        <v>55</v>
      </c>
      <c r="B23" s="21"/>
      <c r="C23" s="21"/>
      <c r="D23" s="21">
        <v>40</v>
      </c>
      <c r="E23" s="21">
        <v>40</v>
      </c>
      <c r="F23" s="21"/>
      <c r="G23" s="21"/>
      <c r="H23" s="21"/>
      <c r="I23" s="21"/>
      <c r="J23" s="21">
        <v>8</v>
      </c>
      <c r="K23" s="21"/>
      <c r="L23" s="41">
        <f t="shared" si="17"/>
        <v>48</v>
      </c>
      <c r="M23" s="41">
        <f t="shared" si="17"/>
        <v>40</v>
      </c>
      <c r="N23" s="21">
        <v>384</v>
      </c>
      <c r="O23" s="21">
        <v>93</v>
      </c>
      <c r="P23" s="21">
        <v>66</v>
      </c>
      <c r="Q23" s="21"/>
      <c r="R23" s="21">
        <v>1416</v>
      </c>
      <c r="S23" s="21">
        <v>270</v>
      </c>
      <c r="T23" s="21"/>
      <c r="U23" s="21"/>
      <c r="V23" s="21">
        <v>288</v>
      </c>
      <c r="W23" s="21">
        <v>51</v>
      </c>
      <c r="X23" s="21">
        <v>384</v>
      </c>
      <c r="Y23" s="21">
        <v>88</v>
      </c>
      <c r="Z23" s="21">
        <v>288</v>
      </c>
      <c r="AA23" s="21">
        <v>91</v>
      </c>
      <c r="AB23" s="21">
        <v>384</v>
      </c>
      <c r="AC23" s="21">
        <v>107</v>
      </c>
      <c r="AD23" s="21">
        <v>192</v>
      </c>
      <c r="AE23" s="21">
        <v>70</v>
      </c>
      <c r="AF23" s="21"/>
      <c r="AG23" s="21"/>
      <c r="AH23" s="21"/>
      <c r="AI23" s="21"/>
      <c r="AJ23" s="21">
        <v>864</v>
      </c>
      <c r="AK23" s="21">
        <v>310</v>
      </c>
      <c r="AL23" s="21"/>
      <c r="AM23" s="21"/>
      <c r="AN23" s="41">
        <f t="shared" si="18"/>
        <v>4266</v>
      </c>
      <c r="AO23" s="41">
        <f t="shared" si="18"/>
        <v>1080</v>
      </c>
      <c r="AP23" s="70">
        <f t="shared" si="19"/>
        <v>4314</v>
      </c>
      <c r="AQ23" s="70">
        <f t="shared" si="19"/>
        <v>1120</v>
      </c>
    </row>
    <row r="24" spans="1:43" ht="10.5">
      <c r="A24" s="73" t="s">
        <v>56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1">
        <f t="shared" si="17"/>
        <v>0</v>
      </c>
      <c r="M24" s="41">
        <f t="shared" si="17"/>
        <v>0</v>
      </c>
      <c r="N24" s="21">
        <v>60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41">
        <f t="shared" si="18"/>
        <v>60</v>
      </c>
      <c r="AO24" s="41">
        <f t="shared" si="18"/>
        <v>0</v>
      </c>
      <c r="AP24" s="70">
        <f t="shared" si="19"/>
        <v>60</v>
      </c>
      <c r="AQ24" s="70">
        <f t="shared" si="19"/>
        <v>0</v>
      </c>
    </row>
    <row r="25" spans="1:43" ht="10.5">
      <c r="A25" s="73" t="s">
        <v>57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41">
        <f t="shared" si="17"/>
        <v>0</v>
      </c>
      <c r="M25" s="41">
        <f t="shared" si="17"/>
        <v>0</v>
      </c>
      <c r="N25" s="21">
        <v>48</v>
      </c>
      <c r="O25" s="21">
        <v>16</v>
      </c>
      <c r="P25" s="21"/>
      <c r="Q25" s="21"/>
      <c r="R25" s="21"/>
      <c r="S25" s="21">
        <v>145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>
        <v>16</v>
      </c>
      <c r="AL25" s="21"/>
      <c r="AM25" s="21"/>
      <c r="AN25" s="41">
        <f t="shared" si="18"/>
        <v>48</v>
      </c>
      <c r="AO25" s="41">
        <f t="shared" si="18"/>
        <v>177</v>
      </c>
      <c r="AP25" s="70">
        <f t="shared" si="19"/>
        <v>48</v>
      </c>
      <c r="AQ25" s="70">
        <f t="shared" si="19"/>
        <v>177</v>
      </c>
    </row>
    <row r="26" spans="1:43" s="19" customFormat="1" ht="9">
      <c r="A26" s="74" t="s">
        <v>58</v>
      </c>
      <c r="B26" s="25">
        <f>SUM(B21:B25)</f>
        <v>0</v>
      </c>
      <c r="C26" s="25">
        <f aca="true" t="shared" si="20" ref="C26:M26">SUM(C21:C25)</f>
        <v>0</v>
      </c>
      <c r="D26" s="25">
        <f t="shared" si="20"/>
        <v>75</v>
      </c>
      <c r="E26" s="25">
        <f t="shared" si="20"/>
        <v>69</v>
      </c>
      <c r="F26" s="25">
        <f t="shared" si="20"/>
        <v>0</v>
      </c>
      <c r="G26" s="25">
        <f t="shared" si="20"/>
        <v>0</v>
      </c>
      <c r="H26" s="25">
        <f t="shared" si="20"/>
        <v>0</v>
      </c>
      <c r="I26" s="25">
        <f t="shared" si="20"/>
        <v>0</v>
      </c>
      <c r="J26" s="25">
        <f t="shared" si="20"/>
        <v>8</v>
      </c>
      <c r="K26" s="25">
        <f t="shared" si="20"/>
        <v>0</v>
      </c>
      <c r="L26" s="42">
        <f t="shared" si="20"/>
        <v>83</v>
      </c>
      <c r="M26" s="42">
        <f t="shared" si="20"/>
        <v>69</v>
      </c>
      <c r="N26" s="25">
        <f aca="true" t="shared" si="21" ref="N26:AQ26">SUM(N21:N25)</f>
        <v>492</v>
      </c>
      <c r="O26" s="25">
        <f t="shared" si="21"/>
        <v>109</v>
      </c>
      <c r="P26" s="25">
        <f t="shared" si="21"/>
        <v>66</v>
      </c>
      <c r="Q26" s="25">
        <f t="shared" si="21"/>
        <v>0</v>
      </c>
      <c r="R26" s="25">
        <f t="shared" si="21"/>
        <v>1416</v>
      </c>
      <c r="S26" s="25">
        <f t="shared" si="21"/>
        <v>415</v>
      </c>
      <c r="T26" s="25">
        <f t="shared" si="21"/>
        <v>0</v>
      </c>
      <c r="U26" s="25">
        <f t="shared" si="21"/>
        <v>0</v>
      </c>
      <c r="V26" s="25">
        <f t="shared" si="21"/>
        <v>450</v>
      </c>
      <c r="W26" s="25">
        <f t="shared" si="21"/>
        <v>54</v>
      </c>
      <c r="X26" s="25">
        <f t="shared" si="21"/>
        <v>546</v>
      </c>
      <c r="Y26" s="25">
        <f t="shared" si="21"/>
        <v>115</v>
      </c>
      <c r="Z26" s="25">
        <f t="shared" si="21"/>
        <v>288</v>
      </c>
      <c r="AA26" s="25">
        <f t="shared" si="21"/>
        <v>91</v>
      </c>
      <c r="AB26" s="25">
        <f t="shared" si="21"/>
        <v>384</v>
      </c>
      <c r="AC26" s="25">
        <f t="shared" si="21"/>
        <v>107</v>
      </c>
      <c r="AD26" s="25">
        <f t="shared" si="21"/>
        <v>192</v>
      </c>
      <c r="AE26" s="25">
        <f t="shared" si="21"/>
        <v>70</v>
      </c>
      <c r="AF26" s="25">
        <f t="shared" si="21"/>
        <v>0</v>
      </c>
      <c r="AG26" s="25">
        <f t="shared" si="21"/>
        <v>0</v>
      </c>
      <c r="AH26" s="25">
        <f t="shared" si="21"/>
        <v>0</v>
      </c>
      <c r="AI26" s="25">
        <f t="shared" si="21"/>
        <v>0</v>
      </c>
      <c r="AJ26" s="25">
        <f t="shared" si="21"/>
        <v>1068</v>
      </c>
      <c r="AK26" s="25">
        <f t="shared" si="21"/>
        <v>525</v>
      </c>
      <c r="AL26" s="25">
        <f>SUM(AL21:AL25)</f>
        <v>0</v>
      </c>
      <c r="AM26" s="25">
        <f>SUM(AM21:AM25)</f>
        <v>0</v>
      </c>
      <c r="AN26" s="42">
        <f t="shared" si="21"/>
        <v>4902</v>
      </c>
      <c r="AO26" s="42">
        <f t="shared" si="21"/>
        <v>1486</v>
      </c>
      <c r="AP26" s="128">
        <f t="shared" si="21"/>
        <v>4985</v>
      </c>
      <c r="AQ26" s="128">
        <f t="shared" si="21"/>
        <v>1555</v>
      </c>
    </row>
    <row r="27" spans="1:43" s="44" customFormat="1" ht="10.5">
      <c r="A27" s="75" t="s">
        <v>59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1">
        <f>B27+D27+F27+H27+J27</f>
        <v>0</v>
      </c>
      <c r="M27" s="41">
        <f>C27+E27+G27+I27+K27</f>
        <v>0</v>
      </c>
      <c r="N27" s="21">
        <v>-492</v>
      </c>
      <c r="O27" s="21"/>
      <c r="P27" s="43"/>
      <c r="Q27" s="43"/>
      <c r="R27" s="43">
        <v>10</v>
      </c>
      <c r="S27" s="43"/>
      <c r="T27" s="43"/>
      <c r="U27" s="43"/>
      <c r="V27" s="43">
        <v>5</v>
      </c>
      <c r="W27" s="43"/>
      <c r="X27" s="43">
        <v>5</v>
      </c>
      <c r="Y27" s="43"/>
      <c r="Z27" s="43">
        <v>54</v>
      </c>
      <c r="AA27" s="43"/>
      <c r="AB27" s="43"/>
      <c r="AC27" s="43"/>
      <c r="AD27" s="43">
        <v>1404</v>
      </c>
      <c r="AE27" s="43"/>
      <c r="AF27" s="43">
        <v>58</v>
      </c>
      <c r="AG27" s="43"/>
      <c r="AH27" s="43">
        <v>24</v>
      </c>
      <c r="AI27" s="43"/>
      <c r="AJ27" s="43">
        <v>-1068</v>
      </c>
      <c r="AK27" s="43"/>
      <c r="AL27" s="43"/>
      <c r="AM27" s="43"/>
      <c r="AN27" s="41">
        <f>N27+P27+R27+T27+V27+X27+Z27+AB27+AD27+AF27+AH27+AJ27+AL27</f>
        <v>0</v>
      </c>
      <c r="AO27" s="41">
        <f>O27+Q27+S27+U27+W27+Y27+AA27+AC27+AE27+AG27+AI27+AK27+AM27</f>
        <v>0</v>
      </c>
      <c r="AP27" s="70">
        <f>L27+AN27</f>
        <v>0</v>
      </c>
      <c r="AQ27" s="70">
        <f>M27+AO27</f>
        <v>0</v>
      </c>
    </row>
    <row r="28" spans="1:43" s="18" customFormat="1" ht="10.5">
      <c r="A28" s="76" t="s">
        <v>60</v>
      </c>
      <c r="B28" s="27">
        <f>B16+B20+B26+B27</f>
        <v>0</v>
      </c>
      <c r="C28" s="27">
        <f aca="true" t="shared" si="22" ref="C28:M28">C16+C20+C26+C27</f>
        <v>0</v>
      </c>
      <c r="D28" s="27">
        <f t="shared" si="22"/>
        <v>1577</v>
      </c>
      <c r="E28" s="27">
        <f t="shared" si="22"/>
        <v>1579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8</v>
      </c>
      <c r="K28" s="27">
        <f t="shared" si="22"/>
        <v>48</v>
      </c>
      <c r="L28" s="131">
        <f t="shared" si="22"/>
        <v>1585</v>
      </c>
      <c r="M28" s="131">
        <f t="shared" si="22"/>
        <v>1627</v>
      </c>
      <c r="N28" s="27">
        <f aca="true" t="shared" si="23" ref="N28:AQ28">N16+N20+N26+N27</f>
        <v>0</v>
      </c>
      <c r="O28" s="27">
        <f t="shared" si="23"/>
        <v>354</v>
      </c>
      <c r="P28" s="27">
        <f t="shared" si="23"/>
        <v>66</v>
      </c>
      <c r="Q28" s="27">
        <f t="shared" si="23"/>
        <v>0</v>
      </c>
      <c r="R28" s="27">
        <f t="shared" si="23"/>
        <v>1426</v>
      </c>
      <c r="S28" s="27">
        <f t="shared" si="23"/>
        <v>654</v>
      </c>
      <c r="T28" s="27">
        <f t="shared" si="23"/>
        <v>0</v>
      </c>
      <c r="U28" s="27">
        <f t="shared" si="23"/>
        <v>0</v>
      </c>
      <c r="V28" s="27">
        <f t="shared" si="23"/>
        <v>455</v>
      </c>
      <c r="W28" s="27">
        <f t="shared" si="23"/>
        <v>280</v>
      </c>
      <c r="X28" s="27">
        <f t="shared" si="23"/>
        <v>551</v>
      </c>
      <c r="Y28" s="27">
        <f t="shared" si="23"/>
        <v>514</v>
      </c>
      <c r="Z28" s="27">
        <f t="shared" si="23"/>
        <v>570</v>
      </c>
      <c r="AA28" s="27">
        <f t="shared" si="23"/>
        <v>301</v>
      </c>
      <c r="AB28" s="27">
        <f t="shared" si="23"/>
        <v>384</v>
      </c>
      <c r="AC28" s="27">
        <f t="shared" si="23"/>
        <v>287</v>
      </c>
      <c r="AD28" s="27">
        <f t="shared" si="23"/>
        <v>1596</v>
      </c>
      <c r="AE28" s="27">
        <f t="shared" si="23"/>
        <v>70</v>
      </c>
      <c r="AF28" s="27">
        <f t="shared" si="23"/>
        <v>58</v>
      </c>
      <c r="AG28" s="27">
        <f t="shared" si="23"/>
        <v>0</v>
      </c>
      <c r="AH28" s="27">
        <f t="shared" si="23"/>
        <v>24</v>
      </c>
      <c r="AI28" s="27">
        <f t="shared" si="23"/>
        <v>0</v>
      </c>
      <c r="AJ28" s="27">
        <f t="shared" si="23"/>
        <v>0</v>
      </c>
      <c r="AK28" s="27">
        <f t="shared" si="23"/>
        <v>961</v>
      </c>
      <c r="AL28" s="27">
        <f>AL16+AL20+AL26+AL27</f>
        <v>0</v>
      </c>
      <c r="AM28" s="27">
        <f>AM16+AM20+AM26+AM27</f>
        <v>0</v>
      </c>
      <c r="AN28" s="131">
        <f t="shared" si="23"/>
        <v>5130</v>
      </c>
      <c r="AO28" s="131">
        <f t="shared" si="23"/>
        <v>3421</v>
      </c>
      <c r="AP28" s="129">
        <f t="shared" si="23"/>
        <v>6715</v>
      </c>
      <c r="AQ28" s="129">
        <f t="shared" si="23"/>
        <v>5048</v>
      </c>
    </row>
    <row r="29" spans="1:43" s="18" customFormat="1" ht="10.5">
      <c r="A29" s="76" t="s">
        <v>61</v>
      </c>
      <c r="B29" s="27">
        <v>0</v>
      </c>
      <c r="C29" s="27"/>
      <c r="D29" s="27">
        <v>3301</v>
      </c>
      <c r="E29" s="27">
        <v>3159</v>
      </c>
      <c r="F29" s="27">
        <v>0</v>
      </c>
      <c r="G29" s="27"/>
      <c r="H29" s="27">
        <v>0</v>
      </c>
      <c r="I29" s="27"/>
      <c r="J29" s="27">
        <v>0</v>
      </c>
      <c r="K29" s="27"/>
      <c r="L29" s="41">
        <f>B29+D29+F29+H29+J29</f>
        <v>3301</v>
      </c>
      <c r="M29" s="41">
        <f>C29+E29+G29+I29+K29</f>
        <v>3159</v>
      </c>
      <c r="N29" s="27"/>
      <c r="O29" s="27"/>
      <c r="P29" s="27"/>
      <c r="Q29" s="27"/>
      <c r="R29" s="27"/>
      <c r="S29" s="27"/>
      <c r="T29" s="27">
        <v>1325</v>
      </c>
      <c r="U29" s="27">
        <v>546</v>
      </c>
      <c r="V29" s="27"/>
      <c r="W29" s="27"/>
      <c r="X29" s="27"/>
      <c r="Y29" s="27"/>
      <c r="Z29" s="27"/>
      <c r="AA29" s="27"/>
      <c r="AB29" s="27"/>
      <c r="AC29" s="27"/>
      <c r="AD29" s="27">
        <v>1440</v>
      </c>
      <c r="AE29" s="27">
        <v>389</v>
      </c>
      <c r="AF29" s="27"/>
      <c r="AG29" s="27"/>
      <c r="AH29" s="27"/>
      <c r="AI29" s="27"/>
      <c r="AJ29" s="27"/>
      <c r="AK29" s="27"/>
      <c r="AL29" s="27"/>
      <c r="AM29" s="27"/>
      <c r="AN29" s="41">
        <f>N29+P29+R29+T29+V29+X29+Z29+AB29+AD29+AF29+AH29+AJ29+AL29</f>
        <v>2765</v>
      </c>
      <c r="AO29" s="41">
        <f>O29+Q29+S29+U29+W29+Y29+AA29+AC29+AE29+AG29+AI29+AK29+AM29</f>
        <v>935</v>
      </c>
      <c r="AP29" s="70">
        <f>L29+AN29</f>
        <v>6066</v>
      </c>
      <c r="AQ29" s="70">
        <f>M29+AO29</f>
        <v>4094</v>
      </c>
    </row>
    <row r="30" spans="1:43" s="46" customFormat="1" ht="9.75">
      <c r="A30" s="77" t="s">
        <v>7</v>
      </c>
      <c r="B30" s="45">
        <f>B13+B28+B29</f>
        <v>0</v>
      </c>
      <c r="C30" s="45">
        <f aca="true" t="shared" si="24" ref="C30:M30">C13+C28+C29</f>
        <v>0</v>
      </c>
      <c r="D30" s="45">
        <f t="shared" si="24"/>
        <v>5624</v>
      </c>
      <c r="E30" s="45">
        <f t="shared" si="24"/>
        <v>5718</v>
      </c>
      <c r="F30" s="45">
        <f t="shared" si="24"/>
        <v>0</v>
      </c>
      <c r="G30" s="45">
        <f t="shared" si="24"/>
        <v>0</v>
      </c>
      <c r="H30" s="45">
        <f t="shared" si="24"/>
        <v>0</v>
      </c>
      <c r="I30" s="45">
        <f t="shared" si="24"/>
        <v>0</v>
      </c>
      <c r="J30" s="45">
        <f t="shared" si="24"/>
        <v>147</v>
      </c>
      <c r="K30" s="45">
        <f t="shared" si="24"/>
        <v>227</v>
      </c>
      <c r="L30" s="132">
        <f t="shared" si="24"/>
        <v>5771</v>
      </c>
      <c r="M30" s="132">
        <f t="shared" si="24"/>
        <v>5945</v>
      </c>
      <c r="N30" s="45">
        <f aca="true" t="shared" si="25" ref="N30:AQ30">N13+N28+N29</f>
        <v>0</v>
      </c>
      <c r="O30" s="45">
        <f t="shared" si="25"/>
        <v>3245</v>
      </c>
      <c r="P30" s="45">
        <f t="shared" si="25"/>
        <v>1007</v>
      </c>
      <c r="Q30" s="45">
        <f t="shared" si="25"/>
        <v>0</v>
      </c>
      <c r="R30" s="45">
        <f t="shared" si="25"/>
        <v>21716</v>
      </c>
      <c r="S30" s="45">
        <f t="shared" si="25"/>
        <v>11001</v>
      </c>
      <c r="T30" s="45">
        <f t="shared" si="25"/>
        <v>1325</v>
      </c>
      <c r="U30" s="45">
        <f t="shared" si="25"/>
        <v>546</v>
      </c>
      <c r="V30" s="45">
        <f t="shared" si="25"/>
        <v>4585</v>
      </c>
      <c r="W30" s="45">
        <f t="shared" si="25"/>
        <v>2046</v>
      </c>
      <c r="X30" s="45">
        <f t="shared" si="25"/>
        <v>7670</v>
      </c>
      <c r="Y30" s="45">
        <f t="shared" si="25"/>
        <v>3255</v>
      </c>
      <c r="Z30" s="45">
        <f t="shared" si="25"/>
        <v>5730</v>
      </c>
      <c r="AA30" s="45">
        <f t="shared" si="25"/>
        <v>2443</v>
      </c>
      <c r="AB30" s="45">
        <f t="shared" si="25"/>
        <v>6282</v>
      </c>
      <c r="AC30" s="45">
        <f t="shared" si="25"/>
        <v>3037</v>
      </c>
      <c r="AD30" s="45">
        <f t="shared" si="25"/>
        <v>22622</v>
      </c>
      <c r="AE30" s="45">
        <f t="shared" si="25"/>
        <v>1935</v>
      </c>
      <c r="AF30" s="45">
        <f t="shared" si="25"/>
        <v>708</v>
      </c>
      <c r="AG30" s="45">
        <f t="shared" si="25"/>
        <v>0</v>
      </c>
      <c r="AH30" s="45">
        <f t="shared" si="25"/>
        <v>297</v>
      </c>
      <c r="AI30" s="45">
        <f t="shared" si="25"/>
        <v>0</v>
      </c>
      <c r="AJ30" s="45">
        <f t="shared" si="25"/>
        <v>0</v>
      </c>
      <c r="AK30" s="45">
        <f t="shared" si="25"/>
        <v>5791</v>
      </c>
      <c r="AL30" s="45">
        <f>AL13+AL28+AL29</f>
        <v>0</v>
      </c>
      <c r="AM30" s="45">
        <f>AM13+AM28+AM29</f>
        <v>687</v>
      </c>
      <c r="AN30" s="132">
        <f t="shared" si="25"/>
        <v>71942</v>
      </c>
      <c r="AO30" s="132">
        <f t="shared" si="25"/>
        <v>33986</v>
      </c>
      <c r="AP30" s="84">
        <f t="shared" si="25"/>
        <v>77713</v>
      </c>
      <c r="AQ30" s="84">
        <f t="shared" si="25"/>
        <v>39931</v>
      </c>
    </row>
    <row r="31" spans="1:43" ht="10.5">
      <c r="A31" s="73" t="s">
        <v>62</v>
      </c>
      <c r="B31" s="21"/>
      <c r="C31" s="21"/>
      <c r="D31" s="21">
        <v>1496</v>
      </c>
      <c r="E31" s="21">
        <v>1493</v>
      </c>
      <c r="F31" s="21"/>
      <c r="G31" s="21"/>
      <c r="H31" s="21"/>
      <c r="I31" s="21"/>
      <c r="J31" s="21">
        <v>38</v>
      </c>
      <c r="K31" s="21">
        <v>61</v>
      </c>
      <c r="L31" s="41">
        <f aca="true" t="shared" si="26" ref="L31:M34">B31+D31+F31+H31+J31</f>
        <v>1534</v>
      </c>
      <c r="M31" s="41">
        <f t="shared" si="26"/>
        <v>1554</v>
      </c>
      <c r="N31" s="21">
        <v>2048</v>
      </c>
      <c r="O31" s="21">
        <v>846</v>
      </c>
      <c r="P31" s="21">
        <v>254</v>
      </c>
      <c r="Q31" s="21"/>
      <c r="R31" s="21">
        <v>5437</v>
      </c>
      <c r="S31" s="21">
        <v>2291</v>
      </c>
      <c r="T31" s="21"/>
      <c r="U31" s="21"/>
      <c r="V31" s="21">
        <v>1095</v>
      </c>
      <c r="W31" s="21">
        <v>458</v>
      </c>
      <c r="X31" s="21">
        <v>1902</v>
      </c>
      <c r="Y31" s="21">
        <v>842</v>
      </c>
      <c r="Z31" s="21">
        <v>1230</v>
      </c>
      <c r="AA31" s="21">
        <v>635</v>
      </c>
      <c r="AB31" s="21">
        <v>1592</v>
      </c>
      <c r="AC31" s="21">
        <v>791</v>
      </c>
      <c r="AD31" s="21">
        <v>800</v>
      </c>
      <c r="AE31" s="21">
        <v>398</v>
      </c>
      <c r="AF31" s="21"/>
      <c r="AG31" s="21"/>
      <c r="AH31" s="21"/>
      <c r="AI31" s="21"/>
      <c r="AJ31" s="21">
        <v>2996</v>
      </c>
      <c r="AK31" s="21">
        <v>1509</v>
      </c>
      <c r="AL31" s="21"/>
      <c r="AM31" s="21">
        <v>68</v>
      </c>
      <c r="AN31" s="41">
        <f aca="true" t="shared" si="27" ref="AN31:AO34">N31+P31+R31+T31+V31+X31+Z31+AB31+AD31+AF31+AH31+AJ31+AL31</f>
        <v>17354</v>
      </c>
      <c r="AO31" s="41">
        <f t="shared" si="27"/>
        <v>7838</v>
      </c>
      <c r="AP31" s="70">
        <f aca="true" t="shared" si="28" ref="AP31:AQ34">L31+AN31</f>
        <v>18888</v>
      </c>
      <c r="AQ31" s="70">
        <f t="shared" si="28"/>
        <v>9392</v>
      </c>
    </row>
    <row r="32" spans="1:43" ht="10.5">
      <c r="A32" s="73" t="s">
        <v>247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41"/>
      <c r="M32" s="41"/>
      <c r="N32" s="21"/>
      <c r="O32" s="21"/>
      <c r="P32" s="21"/>
      <c r="Q32" s="21"/>
      <c r="R32" s="21"/>
      <c r="S32" s="21">
        <v>7</v>
      </c>
      <c r="T32" s="21"/>
      <c r="U32" s="21"/>
      <c r="V32" s="21"/>
      <c r="W32" s="21">
        <v>9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>
        <v>109</v>
      </c>
      <c r="AL32" s="21"/>
      <c r="AM32" s="21">
        <v>25</v>
      </c>
      <c r="AN32" s="41">
        <f t="shared" si="27"/>
        <v>0</v>
      </c>
      <c r="AO32" s="41">
        <f t="shared" si="27"/>
        <v>150</v>
      </c>
      <c r="AP32" s="70">
        <f t="shared" si="28"/>
        <v>0</v>
      </c>
      <c r="AQ32" s="70">
        <f t="shared" si="28"/>
        <v>150</v>
      </c>
    </row>
    <row r="33" spans="1:43" ht="10.5">
      <c r="A33" s="73" t="s">
        <v>63</v>
      </c>
      <c r="B33" s="21"/>
      <c r="C33" s="21"/>
      <c r="D33" s="21">
        <v>46</v>
      </c>
      <c r="E33" s="21">
        <v>18</v>
      </c>
      <c r="F33" s="21"/>
      <c r="G33" s="21"/>
      <c r="H33" s="21"/>
      <c r="I33" s="21"/>
      <c r="J33" s="21">
        <v>1</v>
      </c>
      <c r="K33" s="21"/>
      <c r="L33" s="41">
        <f t="shared" si="26"/>
        <v>47</v>
      </c>
      <c r="M33" s="41">
        <f t="shared" si="26"/>
        <v>18</v>
      </c>
      <c r="N33" s="21">
        <v>72</v>
      </c>
      <c r="O33" s="21">
        <v>18</v>
      </c>
      <c r="P33" s="21">
        <v>11</v>
      </c>
      <c r="Q33" s="21"/>
      <c r="R33" s="21">
        <v>236</v>
      </c>
      <c r="S33" s="21">
        <v>146</v>
      </c>
      <c r="T33" s="21"/>
      <c r="U33" s="21"/>
      <c r="V33" s="21">
        <v>48</v>
      </c>
      <c r="W33" s="21"/>
      <c r="X33" s="21">
        <v>64</v>
      </c>
      <c r="Y33" s="21"/>
      <c r="Z33" s="21">
        <v>48</v>
      </c>
      <c r="AA33" s="21">
        <v>15</v>
      </c>
      <c r="AB33" s="21">
        <v>64</v>
      </c>
      <c r="AC33" s="21">
        <v>18</v>
      </c>
      <c r="AD33" s="21">
        <v>32</v>
      </c>
      <c r="AE33" s="21">
        <v>12</v>
      </c>
      <c r="AF33" s="21"/>
      <c r="AG33" s="21"/>
      <c r="AH33" s="21"/>
      <c r="AI33" s="21"/>
      <c r="AJ33" s="21">
        <v>144</v>
      </c>
      <c r="AK33" s="21"/>
      <c r="AL33" s="21"/>
      <c r="AM33" s="21"/>
      <c r="AN33" s="41">
        <f t="shared" si="27"/>
        <v>719</v>
      </c>
      <c r="AO33" s="41">
        <f t="shared" si="27"/>
        <v>209</v>
      </c>
      <c r="AP33" s="70">
        <f t="shared" si="28"/>
        <v>766</v>
      </c>
      <c r="AQ33" s="70">
        <f t="shared" si="28"/>
        <v>227</v>
      </c>
    </row>
    <row r="34" spans="1:43" s="44" customFormat="1" ht="10.5">
      <c r="A34" s="75" t="s">
        <v>113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1">
        <f t="shared" si="26"/>
        <v>0</v>
      </c>
      <c r="M34" s="41">
        <f t="shared" si="26"/>
        <v>0</v>
      </c>
      <c r="N34" s="43">
        <v>-2120</v>
      </c>
      <c r="O34" s="43"/>
      <c r="P34" s="43"/>
      <c r="Q34" s="43"/>
      <c r="R34" s="43">
        <v>42</v>
      </c>
      <c r="S34" s="43"/>
      <c r="T34" s="43"/>
      <c r="U34" s="43"/>
      <c r="V34" s="43">
        <v>21</v>
      </c>
      <c r="W34" s="43"/>
      <c r="X34" s="43">
        <v>21</v>
      </c>
      <c r="Y34" s="43"/>
      <c r="Z34" s="43">
        <v>233</v>
      </c>
      <c r="AA34" s="43"/>
      <c r="AB34" s="43"/>
      <c r="AC34" s="43"/>
      <c r="AD34" s="43">
        <v>4682</v>
      </c>
      <c r="AE34" s="43"/>
      <c r="AF34" s="43">
        <v>184</v>
      </c>
      <c r="AG34" s="43"/>
      <c r="AH34" s="43">
        <v>77</v>
      </c>
      <c r="AI34" s="43"/>
      <c r="AJ34" s="43">
        <v>-3140</v>
      </c>
      <c r="AK34" s="43"/>
      <c r="AL34" s="43"/>
      <c r="AM34" s="43"/>
      <c r="AN34" s="41">
        <f t="shared" si="27"/>
        <v>0</v>
      </c>
      <c r="AO34" s="41">
        <f t="shared" si="27"/>
        <v>0</v>
      </c>
      <c r="AP34" s="70">
        <f t="shared" si="28"/>
        <v>0</v>
      </c>
      <c r="AQ34" s="70">
        <f t="shared" si="28"/>
        <v>0</v>
      </c>
    </row>
    <row r="35" spans="1:43" s="18" customFormat="1" ht="10.5">
      <c r="A35" s="76" t="s">
        <v>64</v>
      </c>
      <c r="B35" s="27">
        <f>SUM(B31:B34)</f>
        <v>0</v>
      </c>
      <c r="C35" s="27">
        <f aca="true" t="shared" si="29" ref="C35:M35">SUM(C31:C34)</f>
        <v>0</v>
      </c>
      <c r="D35" s="27">
        <f t="shared" si="29"/>
        <v>1542</v>
      </c>
      <c r="E35" s="27">
        <f t="shared" si="29"/>
        <v>1511</v>
      </c>
      <c r="F35" s="27">
        <f t="shared" si="29"/>
        <v>0</v>
      </c>
      <c r="G35" s="27">
        <f t="shared" si="29"/>
        <v>0</v>
      </c>
      <c r="H35" s="27">
        <f t="shared" si="29"/>
        <v>0</v>
      </c>
      <c r="I35" s="27">
        <f t="shared" si="29"/>
        <v>0</v>
      </c>
      <c r="J35" s="27">
        <f t="shared" si="29"/>
        <v>39</v>
      </c>
      <c r="K35" s="27">
        <f t="shared" si="29"/>
        <v>61</v>
      </c>
      <c r="L35" s="131">
        <f t="shared" si="29"/>
        <v>1581</v>
      </c>
      <c r="M35" s="131">
        <f t="shared" si="29"/>
        <v>1572</v>
      </c>
      <c r="N35" s="27">
        <f aca="true" t="shared" si="30" ref="N35:AQ35">SUM(N31:N34)</f>
        <v>0</v>
      </c>
      <c r="O35" s="27">
        <f t="shared" si="30"/>
        <v>864</v>
      </c>
      <c r="P35" s="27">
        <f t="shared" si="30"/>
        <v>265</v>
      </c>
      <c r="Q35" s="27">
        <f t="shared" si="30"/>
        <v>0</v>
      </c>
      <c r="R35" s="27">
        <f t="shared" si="30"/>
        <v>5715</v>
      </c>
      <c r="S35" s="27">
        <f t="shared" si="30"/>
        <v>2444</v>
      </c>
      <c r="T35" s="27">
        <f t="shared" si="30"/>
        <v>0</v>
      </c>
      <c r="U35" s="27">
        <f t="shared" si="30"/>
        <v>0</v>
      </c>
      <c r="V35" s="27">
        <f t="shared" si="30"/>
        <v>1164</v>
      </c>
      <c r="W35" s="27">
        <f t="shared" si="30"/>
        <v>467</v>
      </c>
      <c r="X35" s="27">
        <f t="shared" si="30"/>
        <v>1987</v>
      </c>
      <c r="Y35" s="27">
        <f t="shared" si="30"/>
        <v>842</v>
      </c>
      <c r="Z35" s="27">
        <f t="shared" si="30"/>
        <v>1511</v>
      </c>
      <c r="AA35" s="27">
        <f t="shared" si="30"/>
        <v>650</v>
      </c>
      <c r="AB35" s="27">
        <f t="shared" si="30"/>
        <v>1656</v>
      </c>
      <c r="AC35" s="27">
        <f t="shared" si="30"/>
        <v>809</v>
      </c>
      <c r="AD35" s="27">
        <f t="shared" si="30"/>
        <v>5514</v>
      </c>
      <c r="AE35" s="27">
        <f t="shared" si="30"/>
        <v>410</v>
      </c>
      <c r="AF35" s="27">
        <f t="shared" si="30"/>
        <v>184</v>
      </c>
      <c r="AG35" s="27">
        <f t="shared" si="30"/>
        <v>0</v>
      </c>
      <c r="AH35" s="27">
        <f t="shared" si="30"/>
        <v>77</v>
      </c>
      <c r="AI35" s="27">
        <f t="shared" si="30"/>
        <v>0</v>
      </c>
      <c r="AJ35" s="27">
        <f t="shared" si="30"/>
        <v>0</v>
      </c>
      <c r="AK35" s="27">
        <f t="shared" si="30"/>
        <v>1618</v>
      </c>
      <c r="AL35" s="27">
        <f>SUM(AL31:AL34)</f>
        <v>0</v>
      </c>
      <c r="AM35" s="27">
        <f>SUM(AM31:AM34)</f>
        <v>93</v>
      </c>
      <c r="AN35" s="131">
        <f t="shared" si="30"/>
        <v>18073</v>
      </c>
      <c r="AO35" s="131">
        <f t="shared" si="30"/>
        <v>8197</v>
      </c>
      <c r="AP35" s="129">
        <f t="shared" si="30"/>
        <v>19654</v>
      </c>
      <c r="AQ35" s="129">
        <f t="shared" si="30"/>
        <v>9769</v>
      </c>
    </row>
    <row r="36" spans="1:43" ht="10.5">
      <c r="A36" s="73" t="s">
        <v>65</v>
      </c>
      <c r="B36" s="21"/>
      <c r="C36" s="21">
        <v>20</v>
      </c>
      <c r="D36" s="21"/>
      <c r="E36" s="21"/>
      <c r="F36" s="21">
        <v>311</v>
      </c>
      <c r="G36" s="21">
        <v>940</v>
      </c>
      <c r="H36" s="21">
        <v>583</v>
      </c>
      <c r="I36" s="21">
        <v>869</v>
      </c>
      <c r="J36" s="21">
        <v>165</v>
      </c>
      <c r="K36" s="21">
        <v>41</v>
      </c>
      <c r="L36" s="41">
        <f aca="true" t="shared" si="31" ref="L36:M38">B36+D36+F36+H36+J36</f>
        <v>1059</v>
      </c>
      <c r="M36" s="41">
        <f t="shared" si="31"/>
        <v>1870</v>
      </c>
      <c r="N36" s="21">
        <v>200</v>
      </c>
      <c r="O36" s="21">
        <v>170</v>
      </c>
      <c r="P36" s="21">
        <v>533</v>
      </c>
      <c r="Q36" s="21">
        <v>199</v>
      </c>
      <c r="R36" s="21">
        <v>90</v>
      </c>
      <c r="S36" s="21">
        <v>48</v>
      </c>
      <c r="T36" s="21"/>
      <c r="U36" s="21"/>
      <c r="V36" s="21">
        <v>120</v>
      </c>
      <c r="W36" s="21">
        <v>53</v>
      </c>
      <c r="X36" s="21">
        <v>173</v>
      </c>
      <c r="Y36" s="21">
        <v>61</v>
      </c>
      <c r="Z36" s="21">
        <v>150</v>
      </c>
      <c r="AA36" s="21">
        <v>69</v>
      </c>
      <c r="AB36" s="21">
        <v>638</v>
      </c>
      <c r="AC36" s="21">
        <v>443</v>
      </c>
      <c r="AD36" s="21"/>
      <c r="AE36" s="21">
        <v>28</v>
      </c>
      <c r="AF36" s="21"/>
      <c r="AG36" s="21"/>
      <c r="AH36" s="21"/>
      <c r="AI36" s="21"/>
      <c r="AJ36" s="21">
        <v>33347</v>
      </c>
      <c r="AK36" s="21">
        <v>15157</v>
      </c>
      <c r="AL36" s="21"/>
      <c r="AM36" s="21"/>
      <c r="AN36" s="41">
        <f aca="true" t="shared" si="32" ref="AN36:AO39">N36+P36+R36+T36+V36+X36+Z36+AB36+AD36+AF36+AH36+AJ36+AL36</f>
        <v>35251</v>
      </c>
      <c r="AO36" s="41">
        <f t="shared" si="32"/>
        <v>16228</v>
      </c>
      <c r="AP36" s="70">
        <f aca="true" t="shared" si="33" ref="AP36:AQ38">L36+AN36</f>
        <v>36310</v>
      </c>
      <c r="AQ36" s="70">
        <f t="shared" si="33"/>
        <v>18098</v>
      </c>
    </row>
    <row r="37" spans="1:43" ht="10.5">
      <c r="A37" s="73" t="s">
        <v>66</v>
      </c>
      <c r="B37" s="21">
        <v>2</v>
      </c>
      <c r="C37" s="21">
        <v>32</v>
      </c>
      <c r="D37" s="21"/>
      <c r="E37" s="21"/>
      <c r="F37" s="21"/>
      <c r="G37" s="21"/>
      <c r="H37" s="21"/>
      <c r="I37" s="21"/>
      <c r="J37" s="21">
        <v>192</v>
      </c>
      <c r="K37" s="21">
        <v>100</v>
      </c>
      <c r="L37" s="41">
        <f t="shared" si="31"/>
        <v>194</v>
      </c>
      <c r="M37" s="41">
        <f t="shared" si="31"/>
        <v>132</v>
      </c>
      <c r="N37" s="21">
        <v>200</v>
      </c>
      <c r="O37" s="21">
        <v>63</v>
      </c>
      <c r="P37" s="21"/>
      <c r="Q37" s="21"/>
      <c r="R37" s="21">
        <v>5</v>
      </c>
      <c r="S37" s="21"/>
      <c r="T37" s="21">
        <v>1618</v>
      </c>
      <c r="U37" s="21">
        <v>940</v>
      </c>
      <c r="V37" s="21">
        <v>120</v>
      </c>
      <c r="W37" s="21">
        <v>30</v>
      </c>
      <c r="X37" s="21">
        <v>110</v>
      </c>
      <c r="Y37" s="21">
        <v>55</v>
      </c>
      <c r="Z37" s="21">
        <v>145</v>
      </c>
      <c r="AA37" s="21">
        <v>47</v>
      </c>
      <c r="AB37" s="21"/>
      <c r="AC37" s="21"/>
      <c r="AD37" s="21">
        <v>150</v>
      </c>
      <c r="AE37" s="21"/>
      <c r="AF37" s="21"/>
      <c r="AG37" s="21"/>
      <c r="AH37" s="21"/>
      <c r="AI37" s="21"/>
      <c r="AJ37" s="21"/>
      <c r="AK37" s="21">
        <v>251</v>
      </c>
      <c r="AL37" s="21"/>
      <c r="AM37" s="21"/>
      <c r="AN37" s="41">
        <f t="shared" si="32"/>
        <v>2348</v>
      </c>
      <c r="AO37" s="41">
        <f t="shared" si="32"/>
        <v>1386</v>
      </c>
      <c r="AP37" s="70">
        <f t="shared" si="33"/>
        <v>2542</v>
      </c>
      <c r="AQ37" s="70">
        <f t="shared" si="33"/>
        <v>1518</v>
      </c>
    </row>
    <row r="38" spans="1:43" ht="10.5">
      <c r="A38" s="73" t="s">
        <v>67</v>
      </c>
      <c r="B38" s="21">
        <v>3392</v>
      </c>
      <c r="C38" s="21">
        <f>1682+1214</f>
        <v>2896</v>
      </c>
      <c r="D38" s="21"/>
      <c r="E38" s="21"/>
      <c r="F38" s="21">
        <v>255</v>
      </c>
      <c r="G38" s="21">
        <v>613</v>
      </c>
      <c r="H38" s="21">
        <v>250</v>
      </c>
      <c r="I38" s="21">
        <v>535</v>
      </c>
      <c r="J38" s="21">
        <v>6188</v>
      </c>
      <c r="K38" s="21">
        <v>2948</v>
      </c>
      <c r="L38" s="41">
        <f t="shared" si="31"/>
        <v>10085</v>
      </c>
      <c r="M38" s="41">
        <f t="shared" si="31"/>
        <v>6992</v>
      </c>
      <c r="N38" s="21">
        <v>320</v>
      </c>
      <c r="O38" s="21">
        <v>146</v>
      </c>
      <c r="P38" s="21">
        <v>150</v>
      </c>
      <c r="Q38" s="21">
        <v>5</v>
      </c>
      <c r="R38" s="21">
        <v>95</v>
      </c>
      <c r="S38" s="21">
        <f>46</f>
        <v>46</v>
      </c>
      <c r="T38" s="21">
        <v>10</v>
      </c>
      <c r="U38" s="21"/>
      <c r="V38" s="21">
        <v>250</v>
      </c>
      <c r="W38" s="21">
        <v>308</v>
      </c>
      <c r="X38" s="21">
        <v>250</v>
      </c>
      <c r="Y38" s="21">
        <v>308</v>
      </c>
      <c r="Z38" s="21">
        <v>693</v>
      </c>
      <c r="AA38" s="21">
        <v>376</v>
      </c>
      <c r="AB38" s="21">
        <v>340</v>
      </c>
      <c r="AC38" s="21">
        <v>129</v>
      </c>
      <c r="AD38" s="21">
        <v>9464</v>
      </c>
      <c r="AE38" s="21">
        <v>3273</v>
      </c>
      <c r="AF38" s="21"/>
      <c r="AG38" s="21"/>
      <c r="AH38" s="21"/>
      <c r="AI38" s="21"/>
      <c r="AJ38" s="21">
        <v>4464</v>
      </c>
      <c r="AK38" s="21">
        <v>4284</v>
      </c>
      <c r="AL38" s="21"/>
      <c r="AM38" s="21"/>
      <c r="AN38" s="41">
        <f t="shared" si="32"/>
        <v>16036</v>
      </c>
      <c r="AO38" s="41">
        <f t="shared" si="32"/>
        <v>8875</v>
      </c>
      <c r="AP38" s="70">
        <f t="shared" si="33"/>
        <v>26121</v>
      </c>
      <c r="AQ38" s="70">
        <f t="shared" si="33"/>
        <v>15867</v>
      </c>
    </row>
    <row r="39" spans="1:43" ht="10.5">
      <c r="A39" s="73" t="s">
        <v>68</v>
      </c>
      <c r="B39" s="21">
        <v>50</v>
      </c>
      <c r="C39" s="21">
        <v>80</v>
      </c>
      <c r="D39" s="21"/>
      <c r="E39" s="21"/>
      <c r="F39" s="21"/>
      <c r="G39" s="21"/>
      <c r="H39" s="21"/>
      <c r="I39" s="21"/>
      <c r="J39" s="21">
        <v>16296</v>
      </c>
      <c r="K39" s="21">
        <v>8002</v>
      </c>
      <c r="L39" s="41">
        <f aca="true" t="shared" si="34" ref="L39:L46">B39+D39+F39+H39+J39</f>
        <v>16346</v>
      </c>
      <c r="M39" s="41">
        <f aca="true" t="shared" si="35" ref="M39:M46">C39+E39+G39+I39+K39</f>
        <v>8082</v>
      </c>
      <c r="N39" s="21">
        <v>16</v>
      </c>
      <c r="O39" s="21">
        <v>10</v>
      </c>
      <c r="P39" s="21"/>
      <c r="Q39" s="21"/>
      <c r="R39" s="21">
        <v>56</v>
      </c>
      <c r="S39" s="21">
        <v>20</v>
      </c>
      <c r="T39" s="21"/>
      <c r="U39" s="21"/>
      <c r="V39" s="21">
        <v>610</v>
      </c>
      <c r="W39" s="21">
        <v>3</v>
      </c>
      <c r="X39" s="21">
        <v>733</v>
      </c>
      <c r="Y39" s="21">
        <v>164</v>
      </c>
      <c r="Z39" s="21">
        <v>13</v>
      </c>
      <c r="AA39" s="21">
        <v>7</v>
      </c>
      <c r="AB39" s="21">
        <v>13</v>
      </c>
      <c r="AC39" s="21">
        <v>3</v>
      </c>
      <c r="AD39" s="21">
        <v>7</v>
      </c>
      <c r="AE39" s="21"/>
      <c r="AF39" s="21"/>
      <c r="AG39" s="21"/>
      <c r="AH39" s="21"/>
      <c r="AI39" s="21"/>
      <c r="AJ39" s="21">
        <v>30</v>
      </c>
      <c r="AK39" s="21">
        <v>30</v>
      </c>
      <c r="AL39" s="21"/>
      <c r="AM39" s="21"/>
      <c r="AN39" s="41">
        <f t="shared" si="32"/>
        <v>1478</v>
      </c>
      <c r="AO39" s="41">
        <f t="shared" si="32"/>
        <v>237</v>
      </c>
      <c r="AP39" s="70">
        <f aca="true" t="shared" si="36" ref="AP39:AP46">L39+AN39</f>
        <v>17824</v>
      </c>
      <c r="AQ39" s="70">
        <f aca="true" t="shared" si="37" ref="AQ39:AQ46">M39+AO39</f>
        <v>8319</v>
      </c>
    </row>
    <row r="40" spans="1:43" ht="10.5">
      <c r="A40" s="73" t="s">
        <v>101</v>
      </c>
      <c r="B40" s="21">
        <v>280</v>
      </c>
      <c r="C40" s="21">
        <v>201</v>
      </c>
      <c r="D40" s="21"/>
      <c r="E40" s="21"/>
      <c r="F40" s="21"/>
      <c r="G40" s="21"/>
      <c r="H40" s="21"/>
      <c r="I40" s="21"/>
      <c r="J40" s="21"/>
      <c r="K40" s="21"/>
      <c r="L40" s="41">
        <f t="shared" si="34"/>
        <v>280</v>
      </c>
      <c r="M40" s="41">
        <f t="shared" si="35"/>
        <v>201</v>
      </c>
      <c r="N40" s="21">
        <v>350</v>
      </c>
      <c r="O40" s="21">
        <v>291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41">
        <f aca="true" t="shared" si="38" ref="AN40:AN46">N40+P40+R40+T40+V40+X40+Z40+AB40+AD40+AF40+AH40+AJ40+AL40</f>
        <v>350</v>
      </c>
      <c r="AO40" s="41">
        <f aca="true" t="shared" si="39" ref="AO40:AO46">O40+Q40+S40+U40+W40+Y40+AA40+AC40+AE40+AG40+AI40+AK40+AM40</f>
        <v>291</v>
      </c>
      <c r="AP40" s="70">
        <f t="shared" si="36"/>
        <v>630</v>
      </c>
      <c r="AQ40" s="70">
        <f t="shared" si="37"/>
        <v>492</v>
      </c>
    </row>
    <row r="41" spans="1:43" ht="10.5">
      <c r="A41" s="73" t="s">
        <v>69</v>
      </c>
      <c r="B41" s="21">
        <v>970</v>
      </c>
      <c r="C41" s="21">
        <f>1669+285</f>
        <v>1954</v>
      </c>
      <c r="D41" s="21"/>
      <c r="E41" s="21"/>
      <c r="F41" s="21">
        <v>87</v>
      </c>
      <c r="G41" s="21">
        <v>262</v>
      </c>
      <c r="H41" s="21">
        <v>160</v>
      </c>
      <c r="I41" s="21">
        <v>248</v>
      </c>
      <c r="J41" s="21">
        <v>419</v>
      </c>
      <c r="K41" s="21">
        <v>155</v>
      </c>
      <c r="L41" s="41">
        <f t="shared" si="34"/>
        <v>1636</v>
      </c>
      <c r="M41" s="41">
        <f t="shared" si="35"/>
        <v>2619</v>
      </c>
      <c r="N41" s="21">
        <v>199</v>
      </c>
      <c r="O41" s="21">
        <v>90</v>
      </c>
      <c r="P41" s="21">
        <v>184</v>
      </c>
      <c r="Q41" s="21">
        <v>55</v>
      </c>
      <c r="R41" s="21">
        <v>52</v>
      </c>
      <c r="S41" s="21">
        <v>25</v>
      </c>
      <c r="T41" s="21">
        <v>439</v>
      </c>
      <c r="U41" s="21">
        <v>254</v>
      </c>
      <c r="V41" s="21">
        <v>105</v>
      </c>
      <c r="W41" s="21">
        <v>105</v>
      </c>
      <c r="X41" s="21">
        <v>143</v>
      </c>
      <c r="Y41" s="21">
        <v>110</v>
      </c>
      <c r="Z41" s="21">
        <v>267</v>
      </c>
      <c r="AA41" s="21">
        <v>129</v>
      </c>
      <c r="AB41" s="21">
        <v>264</v>
      </c>
      <c r="AC41" s="21">
        <v>154</v>
      </c>
      <c r="AD41" s="21">
        <v>1998</v>
      </c>
      <c r="AE41" s="21">
        <v>891</v>
      </c>
      <c r="AF41" s="21"/>
      <c r="AG41" s="21"/>
      <c r="AH41" s="21"/>
      <c r="AI41" s="21"/>
      <c r="AJ41" s="21">
        <v>10214</v>
      </c>
      <c r="AK41" s="21">
        <v>5786</v>
      </c>
      <c r="AL41" s="21"/>
      <c r="AM41" s="21"/>
      <c r="AN41" s="41">
        <f t="shared" si="38"/>
        <v>13865</v>
      </c>
      <c r="AO41" s="41">
        <f t="shared" si="39"/>
        <v>7599</v>
      </c>
      <c r="AP41" s="70">
        <f t="shared" si="36"/>
        <v>15501</v>
      </c>
      <c r="AQ41" s="70">
        <f t="shared" si="37"/>
        <v>10218</v>
      </c>
    </row>
    <row r="42" spans="1:43" ht="10.5">
      <c r="A42" s="73" t="s">
        <v>70</v>
      </c>
      <c r="B42" s="21">
        <v>10</v>
      </c>
      <c r="C42" s="21">
        <v>15</v>
      </c>
      <c r="D42" s="21"/>
      <c r="E42" s="21"/>
      <c r="F42" s="21">
        <v>5</v>
      </c>
      <c r="G42" s="21">
        <v>0</v>
      </c>
      <c r="H42" s="21"/>
      <c r="I42" s="21"/>
      <c r="J42" s="21"/>
      <c r="K42" s="21"/>
      <c r="L42" s="41">
        <f t="shared" si="34"/>
        <v>15</v>
      </c>
      <c r="M42" s="41">
        <f t="shared" si="35"/>
        <v>15</v>
      </c>
      <c r="N42" s="21">
        <v>25</v>
      </c>
      <c r="O42" s="21">
        <v>1</v>
      </c>
      <c r="P42" s="21"/>
      <c r="Q42" s="21"/>
      <c r="R42" s="21"/>
      <c r="S42" s="21">
        <v>14</v>
      </c>
      <c r="T42" s="21"/>
      <c r="U42" s="21"/>
      <c r="V42" s="21">
        <v>11</v>
      </c>
      <c r="W42" s="21">
        <v>11</v>
      </c>
      <c r="X42" s="21"/>
      <c r="Y42" s="21">
        <v>69</v>
      </c>
      <c r="Z42" s="21"/>
      <c r="AA42" s="21"/>
      <c r="AB42" s="21"/>
      <c r="AC42" s="21">
        <v>48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41">
        <f t="shared" si="38"/>
        <v>36</v>
      </c>
      <c r="AO42" s="41">
        <f t="shared" si="39"/>
        <v>143</v>
      </c>
      <c r="AP42" s="70">
        <f t="shared" si="36"/>
        <v>51</v>
      </c>
      <c r="AQ42" s="70">
        <f t="shared" si="37"/>
        <v>158</v>
      </c>
    </row>
    <row r="43" spans="1:43" ht="10.5">
      <c r="A43" s="73" t="s">
        <v>71</v>
      </c>
      <c r="B43" s="21">
        <v>150</v>
      </c>
      <c r="C43" s="21">
        <v>4</v>
      </c>
      <c r="D43" s="21"/>
      <c r="E43" s="21"/>
      <c r="F43" s="21"/>
      <c r="G43" s="21"/>
      <c r="H43" s="21"/>
      <c r="I43" s="21"/>
      <c r="J43" s="21"/>
      <c r="K43" s="21"/>
      <c r="L43" s="41">
        <f t="shared" si="34"/>
        <v>150</v>
      </c>
      <c r="M43" s="41">
        <f t="shared" si="35"/>
        <v>4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41">
        <f t="shared" si="38"/>
        <v>0</v>
      </c>
      <c r="AO43" s="41">
        <f t="shared" si="39"/>
        <v>0</v>
      </c>
      <c r="AP43" s="70">
        <f t="shared" si="36"/>
        <v>150</v>
      </c>
      <c r="AQ43" s="70">
        <f t="shared" si="37"/>
        <v>4</v>
      </c>
    </row>
    <row r="44" spans="1:43" ht="10.5">
      <c r="A44" s="73" t="s">
        <v>72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41">
        <f t="shared" si="34"/>
        <v>0</v>
      </c>
      <c r="M44" s="41">
        <f t="shared" si="35"/>
        <v>0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41">
        <f t="shared" si="38"/>
        <v>0</v>
      </c>
      <c r="AO44" s="41">
        <f t="shared" si="39"/>
        <v>0</v>
      </c>
      <c r="AP44" s="70">
        <f t="shared" si="36"/>
        <v>0</v>
      </c>
      <c r="AQ44" s="70">
        <f t="shared" si="37"/>
        <v>0</v>
      </c>
    </row>
    <row r="45" spans="1:43" ht="10.5">
      <c r="A45" s="73" t="s">
        <v>73</v>
      </c>
      <c r="B45" s="21"/>
      <c r="C45" s="21">
        <v>4400</v>
      </c>
      <c r="D45" s="21"/>
      <c r="E45" s="21"/>
      <c r="F45" s="21"/>
      <c r="G45" s="21"/>
      <c r="H45" s="21"/>
      <c r="I45" s="21"/>
      <c r="J45" s="21"/>
      <c r="K45" s="21"/>
      <c r="L45" s="41">
        <f t="shared" si="34"/>
        <v>0</v>
      </c>
      <c r="M45" s="41">
        <f t="shared" si="35"/>
        <v>4400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41">
        <f t="shared" si="38"/>
        <v>0</v>
      </c>
      <c r="AO45" s="41">
        <f t="shared" si="39"/>
        <v>0</v>
      </c>
      <c r="AP45" s="70">
        <f t="shared" si="36"/>
        <v>0</v>
      </c>
      <c r="AQ45" s="70">
        <f t="shared" si="37"/>
        <v>4400</v>
      </c>
    </row>
    <row r="46" spans="1:43" s="44" customFormat="1" ht="10.5">
      <c r="A46" s="75" t="s">
        <v>74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1">
        <f t="shared" si="34"/>
        <v>0</v>
      </c>
      <c r="M46" s="41">
        <f t="shared" si="35"/>
        <v>0</v>
      </c>
      <c r="N46" s="43">
        <v>-1310</v>
      </c>
      <c r="O46" s="43"/>
      <c r="P46" s="43"/>
      <c r="Q46" s="43"/>
      <c r="R46" s="43">
        <v>26</v>
      </c>
      <c r="S46" s="43"/>
      <c r="T46" s="43"/>
      <c r="U46" s="43"/>
      <c r="V46" s="43">
        <v>13</v>
      </c>
      <c r="W46" s="43"/>
      <c r="X46" s="43">
        <v>13</v>
      </c>
      <c r="Y46" s="43"/>
      <c r="Z46" s="43">
        <v>144</v>
      </c>
      <c r="AA46" s="43"/>
      <c r="AB46" s="43"/>
      <c r="AC46" s="43"/>
      <c r="AD46" s="43">
        <v>45962</v>
      </c>
      <c r="AE46" s="43"/>
      <c r="AF46" s="43">
        <v>2342</v>
      </c>
      <c r="AG46" s="43"/>
      <c r="AH46" s="43">
        <v>865</v>
      </c>
      <c r="AI46" s="43"/>
      <c r="AJ46" s="43">
        <v>-48055</v>
      </c>
      <c r="AK46" s="43"/>
      <c r="AL46" s="43"/>
      <c r="AM46" s="43"/>
      <c r="AN46" s="41">
        <f t="shared" si="38"/>
        <v>0</v>
      </c>
      <c r="AO46" s="41">
        <f t="shared" si="39"/>
        <v>0</v>
      </c>
      <c r="AP46" s="70">
        <f t="shared" si="36"/>
        <v>0</v>
      </c>
      <c r="AQ46" s="70">
        <f t="shared" si="37"/>
        <v>0</v>
      </c>
    </row>
    <row r="47" spans="1:43" s="18" customFormat="1" ht="10.5">
      <c r="A47" s="76" t="s">
        <v>75</v>
      </c>
      <c r="B47" s="27">
        <f>SUM(B36:B46)</f>
        <v>4854</v>
      </c>
      <c r="C47" s="27">
        <f aca="true" t="shared" si="40" ref="C47:M47">SUM(C36:C46)</f>
        <v>9602</v>
      </c>
      <c r="D47" s="27">
        <f t="shared" si="40"/>
        <v>0</v>
      </c>
      <c r="E47" s="27">
        <f t="shared" si="40"/>
        <v>0</v>
      </c>
      <c r="F47" s="27">
        <f t="shared" si="40"/>
        <v>658</v>
      </c>
      <c r="G47" s="27">
        <f t="shared" si="40"/>
        <v>1815</v>
      </c>
      <c r="H47" s="27">
        <f t="shared" si="40"/>
        <v>993</v>
      </c>
      <c r="I47" s="27">
        <f t="shared" si="40"/>
        <v>1652</v>
      </c>
      <c r="J47" s="27">
        <f t="shared" si="40"/>
        <v>23260</v>
      </c>
      <c r="K47" s="27">
        <f t="shared" si="40"/>
        <v>11246</v>
      </c>
      <c r="L47" s="131">
        <f t="shared" si="40"/>
        <v>29765</v>
      </c>
      <c r="M47" s="131">
        <f t="shared" si="40"/>
        <v>24315</v>
      </c>
      <c r="N47" s="27">
        <f aca="true" t="shared" si="41" ref="N47:AQ47">SUM(N36:N46)</f>
        <v>0</v>
      </c>
      <c r="O47" s="27">
        <f t="shared" si="41"/>
        <v>771</v>
      </c>
      <c r="P47" s="27">
        <f t="shared" si="41"/>
        <v>867</v>
      </c>
      <c r="Q47" s="27">
        <f t="shared" si="41"/>
        <v>259</v>
      </c>
      <c r="R47" s="27">
        <f t="shared" si="41"/>
        <v>324</v>
      </c>
      <c r="S47" s="27">
        <f t="shared" si="41"/>
        <v>153</v>
      </c>
      <c r="T47" s="27">
        <f t="shared" si="41"/>
        <v>2067</v>
      </c>
      <c r="U47" s="27">
        <f t="shared" si="41"/>
        <v>1194</v>
      </c>
      <c r="V47" s="27">
        <f t="shared" si="41"/>
        <v>1229</v>
      </c>
      <c r="W47" s="27">
        <f t="shared" si="41"/>
        <v>510</v>
      </c>
      <c r="X47" s="27">
        <f t="shared" si="41"/>
        <v>1422</v>
      </c>
      <c r="Y47" s="27">
        <f t="shared" si="41"/>
        <v>767</v>
      </c>
      <c r="Z47" s="27">
        <f t="shared" si="41"/>
        <v>1412</v>
      </c>
      <c r="AA47" s="27">
        <f t="shared" si="41"/>
        <v>628</v>
      </c>
      <c r="AB47" s="27">
        <f t="shared" si="41"/>
        <v>1255</v>
      </c>
      <c r="AC47" s="27">
        <f t="shared" si="41"/>
        <v>777</v>
      </c>
      <c r="AD47" s="27">
        <f t="shared" si="41"/>
        <v>57581</v>
      </c>
      <c r="AE47" s="27">
        <f t="shared" si="41"/>
        <v>4192</v>
      </c>
      <c r="AF47" s="27">
        <f t="shared" si="41"/>
        <v>2342</v>
      </c>
      <c r="AG47" s="27">
        <f t="shared" si="41"/>
        <v>0</v>
      </c>
      <c r="AH47" s="27">
        <f t="shared" si="41"/>
        <v>865</v>
      </c>
      <c r="AI47" s="27">
        <f t="shared" si="41"/>
        <v>0</v>
      </c>
      <c r="AJ47" s="27">
        <f t="shared" si="41"/>
        <v>0</v>
      </c>
      <c r="AK47" s="27">
        <f t="shared" si="41"/>
        <v>25508</v>
      </c>
      <c r="AL47" s="27">
        <f>SUM(AL36:AL46)</f>
        <v>0</v>
      </c>
      <c r="AM47" s="27">
        <f>SUM(AM36:AM46)</f>
        <v>0</v>
      </c>
      <c r="AN47" s="131">
        <f t="shared" si="41"/>
        <v>69364</v>
      </c>
      <c r="AO47" s="131">
        <f t="shared" si="41"/>
        <v>34759</v>
      </c>
      <c r="AP47" s="129">
        <f t="shared" si="41"/>
        <v>99129</v>
      </c>
      <c r="AQ47" s="129">
        <f t="shared" si="41"/>
        <v>59074</v>
      </c>
    </row>
    <row r="48" spans="1:43" ht="10.5">
      <c r="A48" s="73" t="s">
        <v>76</v>
      </c>
      <c r="B48" s="21"/>
      <c r="C48" s="21">
        <v>52</v>
      </c>
      <c r="D48" s="21">
        <v>0</v>
      </c>
      <c r="E48" s="21"/>
      <c r="F48" s="21"/>
      <c r="G48" s="21"/>
      <c r="H48" s="21"/>
      <c r="I48" s="21"/>
      <c r="J48" s="21"/>
      <c r="K48" s="21"/>
      <c r="L48" s="41">
        <f>B48+D48+F48+H48+J48</f>
        <v>0</v>
      </c>
      <c r="M48" s="41">
        <f>C48+E48+G48+I48+K48</f>
        <v>52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41">
        <f>N48+P48+R48+T48+V48+X48+Z48+AB48+AD48+AF48+AH48+AJ48+AL48</f>
        <v>0</v>
      </c>
      <c r="AO48" s="41">
        <f>O48+Q48+S48+U48+W48+Y48+AA48+AC48+AE48+AG48+AI48+AK48+AM48</f>
        <v>0</v>
      </c>
      <c r="AP48" s="70">
        <f>L48+AN48</f>
        <v>0</v>
      </c>
      <c r="AQ48" s="70">
        <f>M48+AO48</f>
        <v>52</v>
      </c>
    </row>
    <row r="49" spans="1:43" ht="10.5">
      <c r="A49" s="73" t="s">
        <v>77</v>
      </c>
      <c r="B49" s="21">
        <v>4867</v>
      </c>
      <c r="C49" s="21"/>
      <c r="D49" s="21">
        <v>0</v>
      </c>
      <c r="E49" s="21"/>
      <c r="F49" s="21">
        <v>0</v>
      </c>
      <c r="G49" s="21"/>
      <c r="H49" s="21">
        <v>0</v>
      </c>
      <c r="I49" s="21"/>
      <c r="J49" s="21">
        <v>0</v>
      </c>
      <c r="K49" s="21"/>
      <c r="L49" s="41">
        <f aca="true" t="shared" si="42" ref="L49:L55">B49+D49+F49+H49+J49</f>
        <v>4867</v>
      </c>
      <c r="M49" s="41">
        <f aca="true" t="shared" si="43" ref="M49:M55">C49+E49+G49+I49+K49</f>
        <v>0</v>
      </c>
      <c r="N49" s="21"/>
      <c r="O49" s="21"/>
      <c r="P49" s="21">
        <v>0</v>
      </c>
      <c r="Q49" s="21"/>
      <c r="R49" s="21">
        <v>0</v>
      </c>
      <c r="S49" s="21"/>
      <c r="T49" s="21">
        <v>0</v>
      </c>
      <c r="U49" s="21"/>
      <c r="V49" s="21">
        <v>0</v>
      </c>
      <c r="W49" s="21"/>
      <c r="X49" s="21">
        <v>0</v>
      </c>
      <c r="Y49" s="21"/>
      <c r="Z49" s="21">
        <v>0</v>
      </c>
      <c r="AA49" s="21"/>
      <c r="AB49" s="21">
        <v>0</v>
      </c>
      <c r="AC49" s="21"/>
      <c r="AD49" s="21">
        <v>0</v>
      </c>
      <c r="AE49" s="21"/>
      <c r="AF49" s="21"/>
      <c r="AG49" s="21"/>
      <c r="AH49" s="21"/>
      <c r="AI49" s="21"/>
      <c r="AJ49" s="21">
        <v>0</v>
      </c>
      <c r="AK49" s="21"/>
      <c r="AL49" s="21">
        <v>0</v>
      </c>
      <c r="AM49" s="21"/>
      <c r="AN49" s="41">
        <f aca="true" t="shared" si="44" ref="AN49:AN55">N49+P49+R49+T49+V49+X49+Z49+AB49+AD49+AF49+AH49+AJ49+AL49</f>
        <v>0</v>
      </c>
      <c r="AO49" s="41">
        <f aca="true" t="shared" si="45" ref="AO49:AO55">O49+Q49+S49+U49+W49+Y49+AA49+AC49+AE49+AG49+AI49+AK49+AM49</f>
        <v>0</v>
      </c>
      <c r="AP49" s="70">
        <f aca="true" t="shared" si="46" ref="AP49:AP55">L49+AN49</f>
        <v>4867</v>
      </c>
      <c r="AQ49" s="70">
        <f aca="true" t="shared" si="47" ref="AQ49:AQ55">M49+AO49</f>
        <v>0</v>
      </c>
    </row>
    <row r="50" spans="1:43" ht="10.5">
      <c r="A50" s="73" t="s">
        <v>78</v>
      </c>
      <c r="B50" s="21"/>
      <c r="C50" s="21"/>
      <c r="D50" s="21">
        <v>15</v>
      </c>
      <c r="E50" s="21">
        <v>15</v>
      </c>
      <c r="F50" s="21"/>
      <c r="G50" s="21"/>
      <c r="H50" s="21"/>
      <c r="I50" s="21"/>
      <c r="J50" s="21">
        <v>2</v>
      </c>
      <c r="K50" s="21"/>
      <c r="L50" s="41">
        <f t="shared" si="42"/>
        <v>17</v>
      </c>
      <c r="M50" s="41">
        <f t="shared" si="43"/>
        <v>15</v>
      </c>
      <c r="N50" s="21">
        <v>73</v>
      </c>
      <c r="O50" s="21">
        <v>21</v>
      </c>
      <c r="P50" s="21">
        <v>12</v>
      </c>
      <c r="Q50" s="21"/>
      <c r="R50" s="21">
        <v>270</v>
      </c>
      <c r="S50" s="21"/>
      <c r="T50" s="21"/>
      <c r="U50" s="21"/>
      <c r="V50" s="21">
        <v>55</v>
      </c>
      <c r="W50" s="21">
        <v>10</v>
      </c>
      <c r="X50" s="21">
        <v>73</v>
      </c>
      <c r="Y50" s="21">
        <v>17</v>
      </c>
      <c r="Z50" s="21">
        <v>55</v>
      </c>
      <c r="AA50" s="21">
        <v>17</v>
      </c>
      <c r="AB50" s="21">
        <v>73</v>
      </c>
      <c r="AC50" s="21">
        <v>20</v>
      </c>
      <c r="AD50" s="21">
        <v>37</v>
      </c>
      <c r="AE50" s="21">
        <v>13</v>
      </c>
      <c r="AF50" s="21"/>
      <c r="AG50" s="21"/>
      <c r="AH50" s="21"/>
      <c r="AI50" s="21"/>
      <c r="AJ50" s="21">
        <v>165</v>
      </c>
      <c r="AK50" s="21">
        <v>62</v>
      </c>
      <c r="AL50" s="21"/>
      <c r="AM50" s="21"/>
      <c r="AN50" s="41">
        <f t="shared" si="44"/>
        <v>813</v>
      </c>
      <c r="AO50" s="41">
        <f t="shared" si="45"/>
        <v>160</v>
      </c>
      <c r="AP50" s="70">
        <f t="shared" si="46"/>
        <v>830</v>
      </c>
      <c r="AQ50" s="70">
        <f t="shared" si="47"/>
        <v>175</v>
      </c>
    </row>
    <row r="51" spans="1:43" ht="10.5">
      <c r="A51" s="73" t="s">
        <v>79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41">
        <f t="shared" si="42"/>
        <v>0</v>
      </c>
      <c r="M51" s="41">
        <f t="shared" si="43"/>
        <v>0</v>
      </c>
      <c r="N51" s="21"/>
      <c r="O51" s="21">
        <v>868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41">
        <f t="shared" si="44"/>
        <v>0</v>
      </c>
      <c r="AO51" s="41">
        <f t="shared" si="45"/>
        <v>868</v>
      </c>
      <c r="AP51" s="70">
        <f t="shared" si="46"/>
        <v>0</v>
      </c>
      <c r="AQ51" s="70">
        <f t="shared" si="47"/>
        <v>868</v>
      </c>
    </row>
    <row r="52" spans="1:43" ht="10.5">
      <c r="A52" s="73" t="s">
        <v>80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41">
        <f t="shared" si="42"/>
        <v>0</v>
      </c>
      <c r="M52" s="41">
        <f t="shared" si="43"/>
        <v>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41">
        <f t="shared" si="44"/>
        <v>0</v>
      </c>
      <c r="AO52" s="41">
        <f t="shared" si="45"/>
        <v>0</v>
      </c>
      <c r="AP52" s="70">
        <f t="shared" si="46"/>
        <v>0</v>
      </c>
      <c r="AQ52" s="70">
        <f t="shared" si="47"/>
        <v>0</v>
      </c>
    </row>
    <row r="53" spans="1:43" ht="10.5">
      <c r="A53" s="73" t="s">
        <v>81</v>
      </c>
      <c r="B53" s="21"/>
      <c r="C53" s="21"/>
      <c r="D53" s="21"/>
      <c r="E53" s="21"/>
      <c r="F53" s="21">
        <v>30</v>
      </c>
      <c r="G53" s="21">
        <v>77</v>
      </c>
      <c r="H53" s="21">
        <v>30</v>
      </c>
      <c r="I53" s="21">
        <v>64</v>
      </c>
      <c r="J53" s="21"/>
      <c r="K53" s="21"/>
      <c r="L53" s="41">
        <f t="shared" si="42"/>
        <v>60</v>
      </c>
      <c r="M53" s="41">
        <f t="shared" si="43"/>
        <v>141</v>
      </c>
      <c r="N53" s="21"/>
      <c r="O53" s="21"/>
      <c r="P53" s="21">
        <v>62</v>
      </c>
      <c r="Q53" s="21">
        <v>32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>
        <v>200</v>
      </c>
      <c r="AC53" s="21">
        <v>132</v>
      </c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41">
        <f t="shared" si="44"/>
        <v>262</v>
      </c>
      <c r="AO53" s="41">
        <f t="shared" si="45"/>
        <v>164</v>
      </c>
      <c r="AP53" s="70">
        <f t="shared" si="46"/>
        <v>322</v>
      </c>
      <c r="AQ53" s="70">
        <f t="shared" si="47"/>
        <v>305</v>
      </c>
    </row>
    <row r="54" spans="1:43" ht="10.5">
      <c r="A54" s="73" t="s">
        <v>102</v>
      </c>
      <c r="B54" s="21"/>
      <c r="C54" s="21">
        <v>73</v>
      </c>
      <c r="D54" s="21"/>
      <c r="E54" s="21"/>
      <c r="F54" s="21"/>
      <c r="G54" s="21"/>
      <c r="H54" s="21"/>
      <c r="I54" s="21"/>
      <c r="J54" s="21"/>
      <c r="K54" s="21"/>
      <c r="L54" s="41">
        <f t="shared" si="42"/>
        <v>0</v>
      </c>
      <c r="M54" s="41">
        <f t="shared" si="43"/>
        <v>73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41">
        <f t="shared" si="44"/>
        <v>0</v>
      </c>
      <c r="AO54" s="41">
        <f t="shared" si="45"/>
        <v>0</v>
      </c>
      <c r="AP54" s="70">
        <f t="shared" si="46"/>
        <v>0</v>
      </c>
      <c r="AQ54" s="70">
        <f t="shared" si="47"/>
        <v>73</v>
      </c>
    </row>
    <row r="55" spans="1:43" s="44" customFormat="1" ht="10.5">
      <c r="A55" s="75" t="s">
        <v>82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1">
        <f t="shared" si="42"/>
        <v>0</v>
      </c>
      <c r="M55" s="41">
        <f t="shared" si="43"/>
        <v>0</v>
      </c>
      <c r="N55" s="43">
        <v>-73</v>
      </c>
      <c r="O55" s="43"/>
      <c r="P55" s="43"/>
      <c r="Q55" s="43"/>
      <c r="R55" s="43">
        <v>1</v>
      </c>
      <c r="S55" s="43"/>
      <c r="T55" s="43"/>
      <c r="U55" s="43"/>
      <c r="V55" s="43">
        <v>1</v>
      </c>
      <c r="W55" s="43"/>
      <c r="X55" s="43">
        <v>1</v>
      </c>
      <c r="Y55" s="43"/>
      <c r="Z55" s="43">
        <v>8</v>
      </c>
      <c r="AA55" s="43"/>
      <c r="AB55" s="43"/>
      <c r="AC55" s="43"/>
      <c r="AD55" s="43">
        <v>214</v>
      </c>
      <c r="AE55" s="43"/>
      <c r="AF55" s="43">
        <v>9</v>
      </c>
      <c r="AG55" s="43"/>
      <c r="AH55" s="43">
        <v>4</v>
      </c>
      <c r="AI55" s="43"/>
      <c r="AJ55" s="43">
        <v>-165</v>
      </c>
      <c r="AK55" s="43"/>
      <c r="AL55" s="43"/>
      <c r="AM55" s="43"/>
      <c r="AN55" s="41">
        <f t="shared" si="44"/>
        <v>0</v>
      </c>
      <c r="AO55" s="41">
        <f t="shared" si="45"/>
        <v>0</v>
      </c>
      <c r="AP55" s="70">
        <f t="shared" si="46"/>
        <v>0</v>
      </c>
      <c r="AQ55" s="70">
        <f t="shared" si="47"/>
        <v>0</v>
      </c>
    </row>
    <row r="56" spans="1:43" s="18" customFormat="1" ht="10.5">
      <c r="A56" s="76" t="s">
        <v>83</v>
      </c>
      <c r="B56" s="27">
        <f>SUM(B48:B55)</f>
        <v>4867</v>
      </c>
      <c r="C56" s="27">
        <f aca="true" t="shared" si="48" ref="C56:M56">SUM(C48:C55)</f>
        <v>125</v>
      </c>
      <c r="D56" s="27">
        <f t="shared" si="48"/>
        <v>15</v>
      </c>
      <c r="E56" s="27">
        <f t="shared" si="48"/>
        <v>15</v>
      </c>
      <c r="F56" s="27">
        <f t="shared" si="48"/>
        <v>30</v>
      </c>
      <c r="G56" s="27">
        <f t="shared" si="48"/>
        <v>77</v>
      </c>
      <c r="H56" s="27">
        <f t="shared" si="48"/>
        <v>30</v>
      </c>
      <c r="I56" s="27">
        <f t="shared" si="48"/>
        <v>64</v>
      </c>
      <c r="J56" s="27">
        <f t="shared" si="48"/>
        <v>2</v>
      </c>
      <c r="K56" s="27">
        <f t="shared" si="48"/>
        <v>0</v>
      </c>
      <c r="L56" s="131">
        <f t="shared" si="48"/>
        <v>4944</v>
      </c>
      <c r="M56" s="131">
        <f t="shared" si="48"/>
        <v>281</v>
      </c>
      <c r="N56" s="27">
        <f aca="true" t="shared" si="49" ref="N56:AQ56">SUM(N48:N55)</f>
        <v>0</v>
      </c>
      <c r="O56" s="27">
        <f t="shared" si="49"/>
        <v>889</v>
      </c>
      <c r="P56" s="27">
        <f t="shared" si="49"/>
        <v>74</v>
      </c>
      <c r="Q56" s="27">
        <f t="shared" si="49"/>
        <v>32</v>
      </c>
      <c r="R56" s="27">
        <f t="shared" si="49"/>
        <v>271</v>
      </c>
      <c r="S56" s="27">
        <f t="shared" si="49"/>
        <v>0</v>
      </c>
      <c r="T56" s="27">
        <f t="shared" si="49"/>
        <v>0</v>
      </c>
      <c r="U56" s="27">
        <f t="shared" si="49"/>
        <v>0</v>
      </c>
      <c r="V56" s="27">
        <f t="shared" si="49"/>
        <v>56</v>
      </c>
      <c r="W56" s="27">
        <f t="shared" si="49"/>
        <v>10</v>
      </c>
      <c r="X56" s="27">
        <f t="shared" si="49"/>
        <v>74</v>
      </c>
      <c r="Y56" s="27">
        <f t="shared" si="49"/>
        <v>17</v>
      </c>
      <c r="Z56" s="27">
        <f t="shared" si="49"/>
        <v>63</v>
      </c>
      <c r="AA56" s="27">
        <f t="shared" si="49"/>
        <v>17</v>
      </c>
      <c r="AB56" s="27">
        <f t="shared" si="49"/>
        <v>273</v>
      </c>
      <c r="AC56" s="27">
        <f t="shared" si="49"/>
        <v>152</v>
      </c>
      <c r="AD56" s="27">
        <f t="shared" si="49"/>
        <v>251</v>
      </c>
      <c r="AE56" s="27">
        <f t="shared" si="49"/>
        <v>13</v>
      </c>
      <c r="AF56" s="27">
        <f t="shared" si="49"/>
        <v>9</v>
      </c>
      <c r="AG56" s="27">
        <f t="shared" si="49"/>
        <v>0</v>
      </c>
      <c r="AH56" s="27">
        <f t="shared" si="49"/>
        <v>4</v>
      </c>
      <c r="AI56" s="27">
        <f t="shared" si="49"/>
        <v>0</v>
      </c>
      <c r="AJ56" s="27">
        <f t="shared" si="49"/>
        <v>0</v>
      </c>
      <c r="AK56" s="27">
        <f t="shared" si="49"/>
        <v>62</v>
      </c>
      <c r="AL56" s="27">
        <f>SUM(AL48:AL55)</f>
        <v>0</v>
      </c>
      <c r="AM56" s="27">
        <f>SUM(AM48:AM55)</f>
        <v>0</v>
      </c>
      <c r="AN56" s="131">
        <f t="shared" si="49"/>
        <v>1075</v>
      </c>
      <c r="AO56" s="131">
        <f t="shared" si="49"/>
        <v>1192</v>
      </c>
      <c r="AP56" s="129">
        <f t="shared" si="49"/>
        <v>6019</v>
      </c>
      <c r="AQ56" s="129">
        <f t="shared" si="49"/>
        <v>1473</v>
      </c>
    </row>
    <row r="57" spans="1:43" ht="17.25">
      <c r="A57" s="78" t="s">
        <v>84</v>
      </c>
      <c r="B57" s="21">
        <v>6000</v>
      </c>
      <c r="C57" s="21">
        <v>3000</v>
      </c>
      <c r="D57" s="21"/>
      <c r="E57" s="21"/>
      <c r="F57" s="21"/>
      <c r="G57" s="21"/>
      <c r="H57" s="21"/>
      <c r="I57" s="21"/>
      <c r="J57" s="21"/>
      <c r="K57" s="21"/>
      <c r="L57" s="41">
        <f aca="true" t="shared" si="50" ref="L57:M60">B57+D57+F57+H57+J57</f>
        <v>6000</v>
      </c>
      <c r="M57" s="41">
        <f t="shared" si="50"/>
        <v>3000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41">
        <f aca="true" t="shared" si="51" ref="AN57:AO60">N57+P57+R57+T57+V57+X57+Z57+AB57+AD57+AF57+AH57+AJ57+AL57</f>
        <v>0</v>
      </c>
      <c r="AO57" s="41">
        <f t="shared" si="51"/>
        <v>0</v>
      </c>
      <c r="AP57" s="70">
        <f aca="true" t="shared" si="52" ref="AP57:AQ60">L57+AN57</f>
        <v>6000</v>
      </c>
      <c r="AQ57" s="70">
        <f t="shared" si="52"/>
        <v>3000</v>
      </c>
    </row>
    <row r="58" spans="1:43" ht="10.5">
      <c r="A58" s="73" t="s">
        <v>103</v>
      </c>
      <c r="B58" s="21"/>
      <c r="C58" s="21"/>
      <c r="D58" s="21">
        <v>0</v>
      </c>
      <c r="E58" s="21"/>
      <c r="F58" s="21">
        <v>0</v>
      </c>
      <c r="G58" s="21"/>
      <c r="H58" s="21">
        <v>0</v>
      </c>
      <c r="I58" s="21"/>
      <c r="J58" s="21">
        <v>0</v>
      </c>
      <c r="K58" s="21"/>
      <c r="L58" s="41">
        <f t="shared" si="50"/>
        <v>0</v>
      </c>
      <c r="M58" s="41">
        <f t="shared" si="50"/>
        <v>0</v>
      </c>
      <c r="N58" s="21"/>
      <c r="O58" s="21"/>
      <c r="P58" s="21">
        <v>0</v>
      </c>
      <c r="Q58" s="21"/>
      <c r="R58" s="21">
        <v>0</v>
      </c>
      <c r="S58" s="21"/>
      <c r="T58" s="21">
        <v>0</v>
      </c>
      <c r="U58" s="21"/>
      <c r="V58" s="21">
        <v>0</v>
      </c>
      <c r="W58" s="21"/>
      <c r="X58" s="21">
        <v>0</v>
      </c>
      <c r="Y58" s="21"/>
      <c r="Z58" s="21">
        <v>0</v>
      </c>
      <c r="AA58" s="21"/>
      <c r="AB58" s="21">
        <v>0</v>
      </c>
      <c r="AC58" s="21"/>
      <c r="AD58" s="21">
        <v>0</v>
      </c>
      <c r="AE58" s="21"/>
      <c r="AF58" s="21"/>
      <c r="AG58" s="21"/>
      <c r="AH58" s="21"/>
      <c r="AI58" s="21"/>
      <c r="AJ58" s="21">
        <v>0</v>
      </c>
      <c r="AK58" s="21"/>
      <c r="AL58" s="21">
        <v>0</v>
      </c>
      <c r="AM58" s="21"/>
      <c r="AN58" s="41">
        <f t="shared" si="51"/>
        <v>0</v>
      </c>
      <c r="AO58" s="41">
        <f t="shared" si="51"/>
        <v>0</v>
      </c>
      <c r="AP58" s="70">
        <f t="shared" si="52"/>
        <v>0</v>
      </c>
      <c r="AQ58" s="70">
        <f t="shared" si="52"/>
        <v>0</v>
      </c>
    </row>
    <row r="59" spans="1:43" ht="10.5">
      <c r="A59" s="73" t="s">
        <v>85</v>
      </c>
      <c r="B59" s="21">
        <v>5937</v>
      </c>
      <c r="C59" s="21"/>
      <c r="D59" s="21"/>
      <c r="E59" s="21"/>
      <c r="F59" s="21"/>
      <c r="G59" s="21"/>
      <c r="H59" s="21"/>
      <c r="I59" s="21"/>
      <c r="J59" s="21"/>
      <c r="K59" s="21"/>
      <c r="L59" s="41">
        <f t="shared" si="50"/>
        <v>5937</v>
      </c>
      <c r="M59" s="41">
        <f t="shared" si="50"/>
        <v>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41">
        <f t="shared" si="51"/>
        <v>0</v>
      </c>
      <c r="AO59" s="41">
        <f t="shared" si="51"/>
        <v>0</v>
      </c>
      <c r="AP59" s="70">
        <f t="shared" si="52"/>
        <v>5937</v>
      </c>
      <c r="AQ59" s="70">
        <f t="shared" si="52"/>
        <v>0</v>
      </c>
    </row>
    <row r="60" spans="1:43" ht="10.5">
      <c r="A60" s="73" t="s">
        <v>14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41">
        <f t="shared" si="50"/>
        <v>0</v>
      </c>
      <c r="M60" s="41">
        <f t="shared" si="50"/>
        <v>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41">
        <f t="shared" si="51"/>
        <v>0</v>
      </c>
      <c r="AO60" s="41">
        <f t="shared" si="51"/>
        <v>0</v>
      </c>
      <c r="AP60" s="70">
        <f t="shared" si="52"/>
        <v>0</v>
      </c>
      <c r="AQ60" s="70">
        <f t="shared" si="52"/>
        <v>0</v>
      </c>
    </row>
    <row r="61" spans="1:43" s="46" customFormat="1" ht="9.75">
      <c r="A61" s="77" t="s">
        <v>86</v>
      </c>
      <c r="B61" s="45">
        <f>B30+B35+B47+B56+B57+B58+B59+B60</f>
        <v>21658</v>
      </c>
      <c r="C61" s="45">
        <f aca="true" t="shared" si="53" ref="C61:M61">C30+C35+C47+C56+C57+C58+C59+C60</f>
        <v>12727</v>
      </c>
      <c r="D61" s="45">
        <f t="shared" si="53"/>
        <v>7181</v>
      </c>
      <c r="E61" s="45">
        <f t="shared" si="53"/>
        <v>7244</v>
      </c>
      <c r="F61" s="45">
        <f t="shared" si="53"/>
        <v>688</v>
      </c>
      <c r="G61" s="45">
        <f t="shared" si="53"/>
        <v>1892</v>
      </c>
      <c r="H61" s="45">
        <f t="shared" si="53"/>
        <v>1023</v>
      </c>
      <c r="I61" s="45">
        <f t="shared" si="53"/>
        <v>1716</v>
      </c>
      <c r="J61" s="45">
        <f t="shared" si="53"/>
        <v>23448</v>
      </c>
      <c r="K61" s="45">
        <f t="shared" si="53"/>
        <v>11534</v>
      </c>
      <c r="L61" s="132">
        <f t="shared" si="53"/>
        <v>53998</v>
      </c>
      <c r="M61" s="132">
        <f t="shared" si="53"/>
        <v>35113</v>
      </c>
      <c r="N61" s="45">
        <f aca="true" t="shared" si="54" ref="N61:AQ61">N30+N35+N47+N56+N57+N58+N59+N60</f>
        <v>0</v>
      </c>
      <c r="O61" s="45">
        <f t="shared" si="54"/>
        <v>5769</v>
      </c>
      <c r="P61" s="45">
        <f t="shared" si="54"/>
        <v>2213</v>
      </c>
      <c r="Q61" s="45">
        <f t="shared" si="54"/>
        <v>291</v>
      </c>
      <c r="R61" s="45">
        <f t="shared" si="54"/>
        <v>28026</v>
      </c>
      <c r="S61" s="45">
        <f t="shared" si="54"/>
        <v>13598</v>
      </c>
      <c r="T61" s="45">
        <f t="shared" si="54"/>
        <v>3392</v>
      </c>
      <c r="U61" s="45">
        <f t="shared" si="54"/>
        <v>1740</v>
      </c>
      <c r="V61" s="45">
        <f t="shared" si="54"/>
        <v>7034</v>
      </c>
      <c r="W61" s="45">
        <f t="shared" si="54"/>
        <v>3033</v>
      </c>
      <c r="X61" s="45">
        <f t="shared" si="54"/>
        <v>11153</v>
      </c>
      <c r="Y61" s="45">
        <f t="shared" si="54"/>
        <v>4881</v>
      </c>
      <c r="Z61" s="45">
        <f t="shared" si="54"/>
        <v>8716</v>
      </c>
      <c r="AA61" s="45">
        <f t="shared" si="54"/>
        <v>3738</v>
      </c>
      <c r="AB61" s="45">
        <f t="shared" si="54"/>
        <v>9466</v>
      </c>
      <c r="AC61" s="45">
        <f t="shared" si="54"/>
        <v>4775</v>
      </c>
      <c r="AD61" s="45">
        <f t="shared" si="54"/>
        <v>85968</v>
      </c>
      <c r="AE61" s="45">
        <f t="shared" si="54"/>
        <v>6550</v>
      </c>
      <c r="AF61" s="45">
        <f t="shared" si="54"/>
        <v>3243</v>
      </c>
      <c r="AG61" s="45">
        <f t="shared" si="54"/>
        <v>0</v>
      </c>
      <c r="AH61" s="45">
        <f t="shared" si="54"/>
        <v>1243</v>
      </c>
      <c r="AI61" s="45">
        <f t="shared" si="54"/>
        <v>0</v>
      </c>
      <c r="AJ61" s="45">
        <f t="shared" si="54"/>
        <v>0</v>
      </c>
      <c r="AK61" s="45">
        <f t="shared" si="54"/>
        <v>32979</v>
      </c>
      <c r="AL61" s="45">
        <f>AL30+AL35+AL47+AL56+AL57+AL58+AL59+AL60</f>
        <v>0</v>
      </c>
      <c r="AM61" s="45">
        <f>AM30+AM35+AM47+AM56+AM57+AM58+AM59+AM60</f>
        <v>780</v>
      </c>
      <c r="AN61" s="132">
        <f t="shared" si="54"/>
        <v>160454</v>
      </c>
      <c r="AO61" s="132">
        <f t="shared" si="54"/>
        <v>78134</v>
      </c>
      <c r="AP61" s="84">
        <f t="shared" si="54"/>
        <v>214452</v>
      </c>
      <c r="AQ61" s="84">
        <f t="shared" si="54"/>
        <v>113247</v>
      </c>
    </row>
    <row r="62" spans="1:43" ht="10.5">
      <c r="A62" s="73" t="s">
        <v>87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41">
        <f>B62+D62+F62+H62+J62</f>
        <v>0</v>
      </c>
      <c r="M62" s="41">
        <f>C62+E62+G62+I62+K62</f>
        <v>0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41">
        <f>N62+P62+R62+T62+V62+X62+Z62+AB62+AD62+AF62+AH62+AJ62+AL62</f>
        <v>0</v>
      </c>
      <c r="AO62" s="41">
        <f>O62+Q62+S62+U62+W62+Y62+AA62+AC62+AE62+AG62+AI62+AK62+AM62</f>
        <v>0</v>
      </c>
      <c r="AP62" s="70">
        <f>L62+AN62</f>
        <v>0</v>
      </c>
      <c r="AQ62" s="70">
        <f>M62+AO62</f>
        <v>0</v>
      </c>
    </row>
    <row r="63" spans="1:43" s="18" customFormat="1" ht="10.5">
      <c r="A63" s="76" t="s">
        <v>17</v>
      </c>
      <c r="B63" s="27">
        <f aca="true" t="shared" si="55" ref="B63:AQ63">B61+B62</f>
        <v>21658</v>
      </c>
      <c r="C63" s="27">
        <f t="shared" si="55"/>
        <v>12727</v>
      </c>
      <c r="D63" s="27">
        <f t="shared" si="55"/>
        <v>7181</v>
      </c>
      <c r="E63" s="27">
        <f t="shared" si="55"/>
        <v>7244</v>
      </c>
      <c r="F63" s="27">
        <f t="shared" si="55"/>
        <v>688</v>
      </c>
      <c r="G63" s="27">
        <f t="shared" si="55"/>
        <v>1892</v>
      </c>
      <c r="H63" s="27">
        <f t="shared" si="55"/>
        <v>1023</v>
      </c>
      <c r="I63" s="27">
        <f t="shared" si="55"/>
        <v>1716</v>
      </c>
      <c r="J63" s="27">
        <f t="shared" si="55"/>
        <v>23448</v>
      </c>
      <c r="K63" s="27">
        <f t="shared" si="55"/>
        <v>11534</v>
      </c>
      <c r="L63" s="131">
        <f t="shared" si="55"/>
        <v>53998</v>
      </c>
      <c r="M63" s="131">
        <f t="shared" si="55"/>
        <v>35113</v>
      </c>
      <c r="N63" s="27">
        <f t="shared" si="55"/>
        <v>0</v>
      </c>
      <c r="O63" s="129">
        <f t="shared" si="55"/>
        <v>5769</v>
      </c>
      <c r="P63" s="27">
        <f t="shared" si="55"/>
        <v>2213</v>
      </c>
      <c r="Q63" s="27">
        <f t="shared" si="55"/>
        <v>291</v>
      </c>
      <c r="R63" s="27">
        <f t="shared" si="55"/>
        <v>28026</v>
      </c>
      <c r="S63" s="27">
        <f t="shared" si="55"/>
        <v>13598</v>
      </c>
      <c r="T63" s="27">
        <f t="shared" si="55"/>
        <v>3392</v>
      </c>
      <c r="U63" s="129">
        <f t="shared" si="55"/>
        <v>1740</v>
      </c>
      <c r="V63" s="27">
        <f t="shared" si="55"/>
        <v>7034</v>
      </c>
      <c r="W63" s="129">
        <f t="shared" si="55"/>
        <v>3033</v>
      </c>
      <c r="X63" s="27">
        <f t="shared" si="55"/>
        <v>11153</v>
      </c>
      <c r="Y63" s="129">
        <f t="shared" si="55"/>
        <v>4881</v>
      </c>
      <c r="Z63" s="27">
        <f t="shared" si="55"/>
        <v>8716</v>
      </c>
      <c r="AA63" s="129">
        <f t="shared" si="55"/>
        <v>3738</v>
      </c>
      <c r="AB63" s="27">
        <f t="shared" si="55"/>
        <v>9466</v>
      </c>
      <c r="AC63" s="129">
        <f t="shared" si="55"/>
        <v>4775</v>
      </c>
      <c r="AD63" s="27">
        <f t="shared" si="55"/>
        <v>85968</v>
      </c>
      <c r="AE63" s="129">
        <f t="shared" si="55"/>
        <v>6550</v>
      </c>
      <c r="AF63" s="27">
        <f t="shared" si="55"/>
        <v>3243</v>
      </c>
      <c r="AG63" s="27">
        <f t="shared" si="55"/>
        <v>0</v>
      </c>
      <c r="AH63" s="27">
        <f t="shared" si="55"/>
        <v>1243</v>
      </c>
      <c r="AI63" s="27">
        <f t="shared" si="55"/>
        <v>0</v>
      </c>
      <c r="AJ63" s="27">
        <f t="shared" si="55"/>
        <v>0</v>
      </c>
      <c r="AK63" s="27">
        <f t="shared" si="55"/>
        <v>32979</v>
      </c>
      <c r="AL63" s="27">
        <f>AL61+AL62</f>
        <v>0</v>
      </c>
      <c r="AM63" s="27">
        <f>AM61+AM62</f>
        <v>780</v>
      </c>
      <c r="AN63" s="131">
        <f t="shared" si="55"/>
        <v>160454</v>
      </c>
      <c r="AO63" s="131">
        <f t="shared" si="55"/>
        <v>78134</v>
      </c>
      <c r="AP63" s="129">
        <f t="shared" si="55"/>
        <v>214452</v>
      </c>
      <c r="AQ63" s="129">
        <f t="shared" si="55"/>
        <v>113247</v>
      </c>
    </row>
    <row r="64" spans="1:43" s="49" customFormat="1" ht="10.5">
      <c r="A64" s="79" t="s">
        <v>88</v>
      </c>
      <c r="B64" s="47"/>
      <c r="C64" s="47"/>
      <c r="D64" s="47"/>
      <c r="E64" s="47"/>
      <c r="F64" s="47"/>
      <c r="G64" s="47"/>
      <c r="H64" s="47"/>
      <c r="I64" s="47"/>
      <c r="J64" s="47">
        <v>0.5</v>
      </c>
      <c r="K64" s="47">
        <v>0.5</v>
      </c>
      <c r="L64" s="48">
        <f>B64+D64+F64+H64+J64</f>
        <v>0.5</v>
      </c>
      <c r="M64" s="48">
        <f>C64+E64+G64+I64+K64</f>
        <v>0.5</v>
      </c>
      <c r="N64" s="47">
        <v>4.5</v>
      </c>
      <c r="O64" s="47">
        <v>3.5</v>
      </c>
      <c r="P64" s="47">
        <v>0.75</v>
      </c>
      <c r="Q64" s="47">
        <v>0</v>
      </c>
      <c r="R64" s="47">
        <v>14.75</v>
      </c>
      <c r="S64" s="47">
        <v>14.75</v>
      </c>
      <c r="T64" s="47"/>
      <c r="U64" s="47"/>
      <c r="V64" s="47">
        <v>2</v>
      </c>
      <c r="W64" s="47">
        <v>2</v>
      </c>
      <c r="X64" s="47">
        <v>4</v>
      </c>
      <c r="Y64" s="47">
        <v>3</v>
      </c>
      <c r="Z64" s="47">
        <v>3</v>
      </c>
      <c r="AA64" s="47">
        <v>3</v>
      </c>
      <c r="AB64" s="47">
        <v>4</v>
      </c>
      <c r="AC64" s="47">
        <v>4</v>
      </c>
      <c r="AD64" s="47">
        <v>2</v>
      </c>
      <c r="AE64" s="47">
        <v>2</v>
      </c>
      <c r="AF64" s="47"/>
      <c r="AG64" s="47"/>
      <c r="AH64" s="47"/>
      <c r="AI64" s="47"/>
      <c r="AJ64" s="47">
        <v>9</v>
      </c>
      <c r="AK64" s="47">
        <v>8</v>
      </c>
      <c r="AL64" s="47"/>
      <c r="AM64" s="47">
        <v>2.25</v>
      </c>
      <c r="AN64" s="48">
        <f>N64+P64+R64+T64+V64+X64+Z64+AB64+AD64+AF64+AH64+AJ64+AL64</f>
        <v>44</v>
      </c>
      <c r="AO64" s="48">
        <f>O64+Q64+S64+U64+W64+Y64+AA64+AC64+AE64+AG64+AI64+AK64+AM64</f>
        <v>42.5</v>
      </c>
      <c r="AP64" s="71">
        <f>L64+AN64</f>
        <v>44.5</v>
      </c>
      <c r="AQ64" s="71">
        <f>M64+AO64</f>
        <v>43</v>
      </c>
    </row>
    <row r="65" spans="1:43" s="49" customFormat="1" ht="10.5">
      <c r="A65" s="79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"/>
      <c r="M65" s="48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8"/>
      <c r="AO65" s="48"/>
      <c r="AP65" s="71"/>
      <c r="AQ65" s="71"/>
    </row>
    <row r="66" spans="1:43" ht="10.5">
      <c r="A66" s="73" t="s">
        <v>89</v>
      </c>
      <c r="B66" s="21">
        <v>2500</v>
      </c>
      <c r="C66" s="21">
        <v>1179</v>
      </c>
      <c r="D66" s="21">
        <v>0</v>
      </c>
      <c r="E66" s="21"/>
      <c r="F66" s="21">
        <v>520</v>
      </c>
      <c r="G66" s="21">
        <v>1986</v>
      </c>
      <c r="H66" s="21">
        <v>784</v>
      </c>
      <c r="I66" s="21">
        <v>1392</v>
      </c>
      <c r="J66" s="21">
        <v>0</v>
      </c>
      <c r="K66" s="21"/>
      <c r="L66" s="41">
        <f>B66+D66+F66+H66+J66</f>
        <v>3804</v>
      </c>
      <c r="M66" s="41">
        <f>C66+E66+G66+I66+K66</f>
        <v>4557</v>
      </c>
      <c r="N66" s="21"/>
      <c r="O66" s="21">
        <v>5</v>
      </c>
      <c r="P66" s="21">
        <v>2213</v>
      </c>
      <c r="Q66" s="21"/>
      <c r="R66" s="21">
        <v>1400</v>
      </c>
      <c r="S66" s="21">
        <v>1135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>
        <v>41367</v>
      </c>
      <c r="AE66" s="21">
        <v>17422</v>
      </c>
      <c r="AF66" s="21">
        <v>3390</v>
      </c>
      <c r="AG66" s="21">
        <v>189</v>
      </c>
      <c r="AH66" s="21">
        <v>1245</v>
      </c>
      <c r="AI66" s="21">
        <v>1277</v>
      </c>
      <c r="AJ66" s="21"/>
      <c r="AK66" s="21"/>
      <c r="AL66" s="21"/>
      <c r="AM66" s="21"/>
      <c r="AN66" s="41">
        <f>N66+P66+R66+T66+V66+X66+Z66+AB66+AD66+AF66+AH66+AJ66+AL66</f>
        <v>49615</v>
      </c>
      <c r="AO66" s="41">
        <f>O66+Q66+S66+U66+W66+Y66+AA66+AC66+AE66+AG66+AI66+AK66+AM66</f>
        <v>20028</v>
      </c>
      <c r="AP66" s="70">
        <f>L66+AN66</f>
        <v>53419</v>
      </c>
      <c r="AQ66" s="70">
        <f>M66+AO66</f>
        <v>24585</v>
      </c>
    </row>
    <row r="67" spans="1:43" ht="10.5">
      <c r="A67" s="73" t="s">
        <v>227</v>
      </c>
      <c r="B67" s="21"/>
      <c r="C67" s="21"/>
      <c r="D67" s="21">
        <v>1895</v>
      </c>
      <c r="E67" s="21"/>
      <c r="F67" s="21"/>
      <c r="G67" s="21"/>
      <c r="H67" s="21"/>
      <c r="I67" s="21"/>
      <c r="J67" s="21"/>
      <c r="K67" s="21"/>
      <c r="L67" s="41">
        <f aca="true" t="shared" si="56" ref="L67:L75">B67+D67+F67+H67+J67</f>
        <v>1895</v>
      </c>
      <c r="M67" s="41">
        <f aca="true" t="shared" si="57" ref="M67:M75">C67+E67+G67+I67+K67</f>
        <v>0</v>
      </c>
      <c r="N67" s="21"/>
      <c r="O67" s="21"/>
      <c r="P67" s="21"/>
      <c r="Q67" s="21"/>
      <c r="R67" s="21"/>
      <c r="S67" s="21"/>
      <c r="T67" s="21"/>
      <c r="U67" s="21">
        <v>32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41">
        <f aca="true" t="shared" si="58" ref="AN67:AN75">N67+P67+R67+T67+V67+X67+Z67+AB67+AD67+AF67+AH67+AJ67+AL67</f>
        <v>0</v>
      </c>
      <c r="AO67" s="41">
        <f aca="true" t="shared" si="59" ref="AO67:AO75">O67+Q67+S67+U67+W67+Y67+AA67+AC67+AE67+AG67+AI67+AK67+AM67</f>
        <v>32</v>
      </c>
      <c r="AP67" s="70">
        <f aca="true" t="shared" si="60" ref="AP67:AP75">L67+AN67</f>
        <v>1895</v>
      </c>
      <c r="AQ67" s="70">
        <f aca="true" t="shared" si="61" ref="AQ67:AQ75">M67+AO67</f>
        <v>32</v>
      </c>
    </row>
    <row r="68" spans="1:43" ht="10.5">
      <c r="A68" s="73" t="s">
        <v>90</v>
      </c>
      <c r="B68" s="21">
        <v>675</v>
      </c>
      <c r="C68" s="21">
        <v>277</v>
      </c>
      <c r="D68" s="21"/>
      <c r="E68" s="21"/>
      <c r="F68" s="21">
        <v>88</v>
      </c>
      <c r="G68" s="21">
        <v>532</v>
      </c>
      <c r="H68" s="21">
        <v>160</v>
      </c>
      <c r="I68" s="21">
        <v>373</v>
      </c>
      <c r="J68" s="21"/>
      <c r="K68" s="21"/>
      <c r="L68" s="41">
        <f t="shared" si="56"/>
        <v>923</v>
      </c>
      <c r="M68" s="41">
        <f t="shared" si="57"/>
        <v>1182</v>
      </c>
      <c r="N68" s="21"/>
      <c r="O68" s="21">
        <v>1</v>
      </c>
      <c r="P68" s="21"/>
      <c r="Q68" s="21"/>
      <c r="R68" s="21"/>
      <c r="S68" s="21"/>
      <c r="T68" s="21"/>
      <c r="U68" s="21">
        <v>9</v>
      </c>
      <c r="V68" s="21"/>
      <c r="W68" s="21"/>
      <c r="X68" s="21"/>
      <c r="Y68" s="21"/>
      <c r="Z68" s="21"/>
      <c r="AA68" s="21"/>
      <c r="AB68" s="21"/>
      <c r="AC68" s="21"/>
      <c r="AD68" s="21">
        <v>11169</v>
      </c>
      <c r="AE68" s="21">
        <v>4704</v>
      </c>
      <c r="AF68" s="21">
        <v>915</v>
      </c>
      <c r="AG68" s="21">
        <v>51</v>
      </c>
      <c r="AH68" s="21">
        <v>336</v>
      </c>
      <c r="AI68" s="21">
        <v>345</v>
      </c>
      <c r="AJ68" s="21"/>
      <c r="AK68" s="21"/>
      <c r="AL68" s="21"/>
      <c r="AM68" s="21"/>
      <c r="AN68" s="41">
        <f t="shared" si="58"/>
        <v>12420</v>
      </c>
      <c r="AO68" s="41">
        <f t="shared" si="59"/>
        <v>5110</v>
      </c>
      <c r="AP68" s="70">
        <f t="shared" si="60"/>
        <v>13343</v>
      </c>
      <c r="AQ68" s="70">
        <f t="shared" si="61"/>
        <v>6292</v>
      </c>
    </row>
    <row r="69" spans="1:43" ht="10.5">
      <c r="A69" s="73" t="s">
        <v>104</v>
      </c>
      <c r="B69" s="21">
        <v>210</v>
      </c>
      <c r="C69" s="21">
        <v>211</v>
      </c>
      <c r="D69" s="21"/>
      <c r="E69" s="21"/>
      <c r="F69" s="21"/>
      <c r="G69" s="21"/>
      <c r="H69" s="21"/>
      <c r="I69" s="21"/>
      <c r="J69" s="21"/>
      <c r="K69" s="21"/>
      <c r="L69" s="41">
        <f t="shared" si="56"/>
        <v>210</v>
      </c>
      <c r="M69" s="41">
        <f t="shared" si="57"/>
        <v>211</v>
      </c>
      <c r="N69" s="21">
        <v>5</v>
      </c>
      <c r="O69" s="21">
        <v>1</v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41">
        <f t="shared" si="58"/>
        <v>5</v>
      </c>
      <c r="AO69" s="41">
        <f t="shared" si="59"/>
        <v>1</v>
      </c>
      <c r="AP69" s="70">
        <f t="shared" si="60"/>
        <v>215</v>
      </c>
      <c r="AQ69" s="70">
        <f t="shared" si="61"/>
        <v>212</v>
      </c>
    </row>
    <row r="70" spans="1:43" ht="10.5">
      <c r="A70" s="73" t="s">
        <v>91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41">
        <f t="shared" si="56"/>
        <v>0</v>
      </c>
      <c r="M70" s="41">
        <f t="shared" si="57"/>
        <v>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41">
        <f t="shared" si="58"/>
        <v>0</v>
      </c>
      <c r="AO70" s="41">
        <f t="shared" si="59"/>
        <v>0</v>
      </c>
      <c r="AP70" s="70">
        <f t="shared" si="60"/>
        <v>0</v>
      </c>
      <c r="AQ70" s="70">
        <f t="shared" si="61"/>
        <v>0</v>
      </c>
    </row>
    <row r="71" spans="1:43" ht="10.5">
      <c r="A71" s="73" t="s">
        <v>92</v>
      </c>
      <c r="B71" s="21"/>
      <c r="C71" s="21">
        <v>3</v>
      </c>
      <c r="D71" s="21"/>
      <c r="E71" s="21"/>
      <c r="F71" s="21"/>
      <c r="G71" s="21"/>
      <c r="H71" s="21"/>
      <c r="I71" s="21"/>
      <c r="J71" s="21"/>
      <c r="K71" s="21"/>
      <c r="L71" s="41">
        <f t="shared" si="56"/>
        <v>0</v>
      </c>
      <c r="M71" s="41">
        <f t="shared" si="57"/>
        <v>3</v>
      </c>
      <c r="N71" s="21"/>
      <c r="O71" s="21"/>
      <c r="P71" s="21"/>
      <c r="Q71" s="21"/>
      <c r="R71" s="21"/>
      <c r="S71" s="21"/>
      <c r="T71" s="21">
        <v>3468</v>
      </c>
      <c r="U71" s="21">
        <v>1720</v>
      </c>
      <c r="V71" s="21"/>
      <c r="W71" s="21"/>
      <c r="X71" s="21"/>
      <c r="Y71" s="21"/>
      <c r="Z71" s="21"/>
      <c r="AA71" s="21"/>
      <c r="AB71" s="21">
        <v>8550</v>
      </c>
      <c r="AC71" s="21">
        <v>5775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41">
        <f t="shared" si="58"/>
        <v>12018</v>
      </c>
      <c r="AO71" s="41">
        <f t="shared" si="59"/>
        <v>7495</v>
      </c>
      <c r="AP71" s="70">
        <f t="shared" si="60"/>
        <v>12018</v>
      </c>
      <c r="AQ71" s="70">
        <f t="shared" si="61"/>
        <v>7498</v>
      </c>
    </row>
    <row r="72" spans="1:43" ht="10.5">
      <c r="A72" s="73" t="s">
        <v>93</v>
      </c>
      <c r="B72" s="21"/>
      <c r="C72" s="21"/>
      <c r="D72" s="21"/>
      <c r="E72" s="21"/>
      <c r="F72" s="21"/>
      <c r="G72" s="21"/>
      <c r="H72" s="21"/>
      <c r="I72" s="21"/>
      <c r="J72" s="21">
        <v>14793</v>
      </c>
      <c r="K72" s="21">
        <v>7947</v>
      </c>
      <c r="L72" s="41">
        <f t="shared" si="56"/>
        <v>14793</v>
      </c>
      <c r="M72" s="41">
        <f t="shared" si="57"/>
        <v>7947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41">
        <f t="shared" si="58"/>
        <v>0</v>
      </c>
      <c r="AO72" s="41">
        <f t="shared" si="59"/>
        <v>0</v>
      </c>
      <c r="AP72" s="70">
        <f t="shared" si="60"/>
        <v>14793</v>
      </c>
      <c r="AQ72" s="70">
        <f t="shared" si="61"/>
        <v>7947</v>
      </c>
    </row>
    <row r="73" spans="1:43" ht="10.5">
      <c r="A73" s="73" t="s">
        <v>94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41">
        <f t="shared" si="56"/>
        <v>0</v>
      </c>
      <c r="M73" s="41">
        <f t="shared" si="57"/>
        <v>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>
        <v>635</v>
      </c>
      <c r="AN73" s="41">
        <f t="shared" si="58"/>
        <v>0</v>
      </c>
      <c r="AO73" s="41">
        <f t="shared" si="59"/>
        <v>635</v>
      </c>
      <c r="AP73" s="70">
        <f t="shared" si="60"/>
        <v>0</v>
      </c>
      <c r="AQ73" s="70">
        <f t="shared" si="61"/>
        <v>635</v>
      </c>
    </row>
    <row r="74" spans="1:43" ht="17.25">
      <c r="A74" s="78" t="s">
        <v>95</v>
      </c>
      <c r="B74" s="21"/>
      <c r="C74" s="21"/>
      <c r="D74" s="21">
        <v>0</v>
      </c>
      <c r="E74" s="21"/>
      <c r="F74" s="21"/>
      <c r="G74" s="21"/>
      <c r="H74" s="21"/>
      <c r="I74" s="21"/>
      <c r="J74" s="21">
        <v>8654</v>
      </c>
      <c r="K74" s="21">
        <v>3579</v>
      </c>
      <c r="L74" s="41">
        <f t="shared" si="56"/>
        <v>8654</v>
      </c>
      <c r="M74" s="41">
        <f t="shared" si="57"/>
        <v>3579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41">
        <f t="shared" si="58"/>
        <v>0</v>
      </c>
      <c r="AO74" s="41">
        <f t="shared" si="59"/>
        <v>0</v>
      </c>
      <c r="AP74" s="70">
        <f t="shared" si="60"/>
        <v>8654</v>
      </c>
      <c r="AQ74" s="70">
        <f t="shared" si="61"/>
        <v>3579</v>
      </c>
    </row>
    <row r="75" spans="1:43" ht="10.5">
      <c r="A75" s="73" t="s">
        <v>96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41">
        <f t="shared" si="56"/>
        <v>0</v>
      </c>
      <c r="M75" s="41">
        <f t="shared" si="57"/>
        <v>0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41">
        <f t="shared" si="58"/>
        <v>0</v>
      </c>
      <c r="AO75" s="41">
        <f t="shared" si="59"/>
        <v>0</v>
      </c>
      <c r="AP75" s="70">
        <f t="shared" si="60"/>
        <v>0</v>
      </c>
      <c r="AQ75" s="70">
        <f t="shared" si="61"/>
        <v>0</v>
      </c>
    </row>
    <row r="76" spans="1:43" s="19" customFormat="1" ht="9">
      <c r="A76" s="74" t="s">
        <v>97</v>
      </c>
      <c r="B76" s="25">
        <f>SUM(B70:B75)</f>
        <v>0</v>
      </c>
      <c r="C76" s="25">
        <f aca="true" t="shared" si="62" ref="C76:M76">SUM(C70:C75)</f>
        <v>3</v>
      </c>
      <c r="D76" s="25">
        <f t="shared" si="62"/>
        <v>0</v>
      </c>
      <c r="E76" s="25">
        <f t="shared" si="62"/>
        <v>0</v>
      </c>
      <c r="F76" s="25">
        <f t="shared" si="62"/>
        <v>0</v>
      </c>
      <c r="G76" s="25">
        <f t="shared" si="62"/>
        <v>0</v>
      </c>
      <c r="H76" s="25">
        <f t="shared" si="62"/>
        <v>0</v>
      </c>
      <c r="I76" s="25">
        <f t="shared" si="62"/>
        <v>0</v>
      </c>
      <c r="J76" s="25">
        <f t="shared" si="62"/>
        <v>23447</v>
      </c>
      <c r="K76" s="25">
        <f t="shared" si="62"/>
        <v>11526</v>
      </c>
      <c r="L76" s="42">
        <f t="shared" si="62"/>
        <v>23447</v>
      </c>
      <c r="M76" s="42">
        <f t="shared" si="62"/>
        <v>11529</v>
      </c>
      <c r="N76" s="25">
        <f aca="true" t="shared" si="63" ref="N76:AN76">SUM(N70:N75)</f>
        <v>0</v>
      </c>
      <c r="O76" s="25">
        <f t="shared" si="63"/>
        <v>0</v>
      </c>
      <c r="P76" s="25">
        <f t="shared" si="63"/>
        <v>0</v>
      </c>
      <c r="Q76" s="25">
        <f t="shared" si="63"/>
        <v>0</v>
      </c>
      <c r="R76" s="25">
        <f t="shared" si="63"/>
        <v>0</v>
      </c>
      <c r="S76" s="25">
        <f t="shared" si="63"/>
        <v>0</v>
      </c>
      <c r="T76" s="25">
        <f t="shared" si="63"/>
        <v>3468</v>
      </c>
      <c r="U76" s="25">
        <f t="shared" si="63"/>
        <v>1720</v>
      </c>
      <c r="V76" s="25">
        <f t="shared" si="63"/>
        <v>0</v>
      </c>
      <c r="W76" s="25">
        <f t="shared" si="63"/>
        <v>0</v>
      </c>
      <c r="X76" s="25">
        <f t="shared" si="63"/>
        <v>0</v>
      </c>
      <c r="Y76" s="25">
        <f t="shared" si="63"/>
        <v>0</v>
      </c>
      <c r="Z76" s="25">
        <f t="shared" si="63"/>
        <v>0</v>
      </c>
      <c r="AA76" s="25">
        <f t="shared" si="63"/>
        <v>0</v>
      </c>
      <c r="AB76" s="25">
        <f t="shared" si="63"/>
        <v>8550</v>
      </c>
      <c r="AC76" s="25">
        <f t="shared" si="63"/>
        <v>5775</v>
      </c>
      <c r="AD76" s="25">
        <f t="shared" si="63"/>
        <v>0</v>
      </c>
      <c r="AE76" s="25">
        <f t="shared" si="63"/>
        <v>0</v>
      </c>
      <c r="AF76" s="25">
        <f t="shared" si="63"/>
        <v>0</v>
      </c>
      <c r="AG76" s="25">
        <f t="shared" si="63"/>
        <v>0</v>
      </c>
      <c r="AH76" s="25">
        <f t="shared" si="63"/>
        <v>0</v>
      </c>
      <c r="AI76" s="25">
        <f t="shared" si="63"/>
        <v>0</v>
      </c>
      <c r="AJ76" s="25">
        <f t="shared" si="63"/>
        <v>0</v>
      </c>
      <c r="AK76" s="25">
        <f t="shared" si="63"/>
        <v>0</v>
      </c>
      <c r="AL76" s="25">
        <f>SUM(AL70:AL75)</f>
        <v>0</v>
      </c>
      <c r="AM76" s="25">
        <f>SUM(AM70:AM75)</f>
        <v>635</v>
      </c>
      <c r="AN76" s="42">
        <f t="shared" si="63"/>
        <v>12018</v>
      </c>
      <c r="AO76" s="42">
        <f>SUM(AO70:AO75)</f>
        <v>8130</v>
      </c>
      <c r="AP76" s="128">
        <f>SUM(AP70:AP75)</f>
        <v>35465</v>
      </c>
      <c r="AQ76" s="128">
        <f>SUM(AQ70:AQ75)</f>
        <v>19659</v>
      </c>
    </row>
    <row r="77" spans="1:43" ht="10.5">
      <c r="A77" s="73" t="s">
        <v>224</v>
      </c>
      <c r="B77" s="21">
        <v>5661</v>
      </c>
      <c r="C77" s="21">
        <v>1746</v>
      </c>
      <c r="D77" s="21"/>
      <c r="E77" s="21"/>
      <c r="F77" s="21"/>
      <c r="G77" s="21"/>
      <c r="H77" s="21"/>
      <c r="I77" s="21"/>
      <c r="J77" s="21"/>
      <c r="K77" s="21"/>
      <c r="L77" s="41">
        <f>B77+D77+F77+H77+J77</f>
        <v>5661</v>
      </c>
      <c r="M77" s="41">
        <f>C77+E77+G77+I77+K77</f>
        <v>1746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41">
        <f aca="true" t="shared" si="64" ref="AN77:AO81">N77+P77+R77+T77+V77+X77+Z77+AB77+AD77+AF77+AH77+AJ77+AL77</f>
        <v>0</v>
      </c>
      <c r="AO77" s="41">
        <f t="shared" si="64"/>
        <v>0</v>
      </c>
      <c r="AP77" s="70">
        <f aca="true" t="shared" si="65" ref="AP77:AQ81">L77+AN77</f>
        <v>5661</v>
      </c>
      <c r="AQ77" s="70">
        <f t="shared" si="65"/>
        <v>1746</v>
      </c>
    </row>
    <row r="78" spans="1:43" ht="10.5">
      <c r="A78" s="78" t="s">
        <v>105</v>
      </c>
      <c r="B78" s="21">
        <v>24165</v>
      </c>
      <c r="C78" s="21">
        <v>24165</v>
      </c>
      <c r="D78" s="21">
        <v>0</v>
      </c>
      <c r="E78" s="21"/>
      <c r="F78" s="21"/>
      <c r="G78" s="21"/>
      <c r="H78" s="21"/>
      <c r="I78" s="21"/>
      <c r="J78" s="21"/>
      <c r="K78" s="21"/>
      <c r="L78" s="41">
        <f>B78+D78+F78+H78+J78</f>
        <v>24165</v>
      </c>
      <c r="M78" s="41">
        <f>C78+E78+G78+I78+K78</f>
        <v>24165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41">
        <f t="shared" si="64"/>
        <v>0</v>
      </c>
      <c r="AO78" s="41">
        <f t="shared" si="64"/>
        <v>0</v>
      </c>
      <c r="AP78" s="70">
        <f t="shared" si="65"/>
        <v>24165</v>
      </c>
      <c r="AQ78" s="70">
        <f t="shared" si="65"/>
        <v>24165</v>
      </c>
    </row>
    <row r="79" spans="1:43" s="19" customFormat="1" ht="10.5">
      <c r="A79" s="74" t="s">
        <v>98</v>
      </c>
      <c r="B79" s="25">
        <f>SUM(B77:B78)</f>
        <v>29826</v>
      </c>
      <c r="C79" s="25">
        <f aca="true" t="shared" si="66" ref="C79:M79">SUM(C77:C78)</f>
        <v>25911</v>
      </c>
      <c r="D79" s="25">
        <f t="shared" si="66"/>
        <v>0</v>
      </c>
      <c r="E79" s="25">
        <f t="shared" si="66"/>
        <v>0</v>
      </c>
      <c r="F79" s="25">
        <f t="shared" si="66"/>
        <v>0</v>
      </c>
      <c r="G79" s="25">
        <f t="shared" si="66"/>
        <v>0</v>
      </c>
      <c r="H79" s="25">
        <f t="shared" si="66"/>
        <v>0</v>
      </c>
      <c r="I79" s="25">
        <f t="shared" si="66"/>
        <v>0</v>
      </c>
      <c r="J79" s="25">
        <f t="shared" si="66"/>
        <v>0</v>
      </c>
      <c r="K79" s="25">
        <f t="shared" si="66"/>
        <v>0</v>
      </c>
      <c r="L79" s="42">
        <f t="shared" si="66"/>
        <v>29826</v>
      </c>
      <c r="M79" s="42">
        <f t="shared" si="66"/>
        <v>25911</v>
      </c>
      <c r="N79" s="25"/>
      <c r="O79" s="25"/>
      <c r="P79" s="25">
        <f>SUM(P77:P78)</f>
        <v>0</v>
      </c>
      <c r="Q79" s="25"/>
      <c r="R79" s="42">
        <f>SUM(R77:R78)</f>
        <v>0</v>
      </c>
      <c r="S79" s="42"/>
      <c r="T79" s="42">
        <f>SUM(T77:T78)</f>
        <v>0</v>
      </c>
      <c r="U79" s="42"/>
      <c r="V79" s="42">
        <f>SUM(V77:V78)</f>
        <v>0</v>
      </c>
      <c r="W79" s="42"/>
      <c r="X79" s="42">
        <f>SUM(X77:X78)</f>
        <v>0</v>
      </c>
      <c r="Y79" s="42"/>
      <c r="Z79" s="42">
        <f>SUM(Z77:Z78)</f>
        <v>0</v>
      </c>
      <c r="AA79" s="42"/>
      <c r="AB79" s="42">
        <f>SUM(AB77:AB78)</f>
        <v>0</v>
      </c>
      <c r="AC79" s="42"/>
      <c r="AD79" s="42">
        <f>SUM(AD77:AD78)</f>
        <v>0</v>
      </c>
      <c r="AE79" s="42"/>
      <c r="AF79" s="42">
        <f>SUM(AF77:AF78)</f>
        <v>0</v>
      </c>
      <c r="AG79" s="42"/>
      <c r="AH79" s="42">
        <f>SUM(AH77:AH78)</f>
        <v>0</v>
      </c>
      <c r="AI79" s="42"/>
      <c r="AJ79" s="42">
        <f>SUM(AJ77:AJ78)</f>
        <v>0</v>
      </c>
      <c r="AK79" s="42"/>
      <c r="AL79" s="42">
        <f>SUM(AL77:AL78)</f>
        <v>0</v>
      </c>
      <c r="AM79" s="42"/>
      <c r="AN79" s="41">
        <f t="shared" si="64"/>
        <v>0</v>
      </c>
      <c r="AO79" s="41">
        <f t="shared" si="64"/>
        <v>0</v>
      </c>
      <c r="AP79" s="70">
        <f t="shared" si="65"/>
        <v>29826</v>
      </c>
      <c r="AQ79" s="70">
        <f t="shared" si="65"/>
        <v>25911</v>
      </c>
    </row>
    <row r="80" spans="1:43" ht="10.5">
      <c r="A80" s="73" t="s">
        <v>99</v>
      </c>
      <c r="B80" s="21">
        <v>0</v>
      </c>
      <c r="C80" s="21"/>
      <c r="D80" s="21"/>
      <c r="E80" s="21"/>
      <c r="F80" s="21"/>
      <c r="G80" s="21"/>
      <c r="H80" s="21"/>
      <c r="I80" s="21"/>
      <c r="J80" s="21"/>
      <c r="K80" s="21"/>
      <c r="L80" s="41">
        <f aca="true" t="shared" si="67" ref="L80:M82">B80+D80+F80+H80+J80</f>
        <v>0</v>
      </c>
      <c r="M80" s="41">
        <f t="shared" si="67"/>
        <v>0</v>
      </c>
      <c r="N80" s="21"/>
      <c r="O80" s="21"/>
      <c r="P80" s="21"/>
      <c r="Q80" s="21"/>
      <c r="R80" s="21">
        <v>17835</v>
      </c>
      <c r="S80" s="21">
        <v>8918</v>
      </c>
      <c r="T80" s="21"/>
      <c r="U80" s="21"/>
      <c r="V80" s="21">
        <v>3926</v>
      </c>
      <c r="W80" s="21">
        <v>1963</v>
      </c>
      <c r="X80" s="21">
        <v>3926</v>
      </c>
      <c r="Y80" s="21">
        <v>1963</v>
      </c>
      <c r="Z80" s="21">
        <v>6540</v>
      </c>
      <c r="AA80" s="21">
        <v>3270</v>
      </c>
      <c r="AB80" s="21"/>
      <c r="AC80" s="21"/>
      <c r="AD80" s="21">
        <v>30448</v>
      </c>
      <c r="AE80" s="21">
        <v>15224</v>
      </c>
      <c r="AF80" s="21"/>
      <c r="AG80" s="21"/>
      <c r="AH80" s="21"/>
      <c r="AI80" s="21"/>
      <c r="AJ80" s="21"/>
      <c r="AK80" s="21"/>
      <c r="AL80" s="21"/>
      <c r="AM80" s="21"/>
      <c r="AN80" s="41">
        <f t="shared" si="64"/>
        <v>62675</v>
      </c>
      <c r="AO80" s="41">
        <f t="shared" si="64"/>
        <v>31338</v>
      </c>
      <c r="AP80" s="70">
        <f t="shared" si="65"/>
        <v>62675</v>
      </c>
      <c r="AQ80" s="70">
        <f t="shared" si="65"/>
        <v>31338</v>
      </c>
    </row>
    <row r="81" spans="1:43" ht="10.5">
      <c r="A81" s="73" t="s">
        <v>223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41">
        <f t="shared" si="67"/>
        <v>0</v>
      </c>
      <c r="M81" s="41">
        <f t="shared" si="67"/>
        <v>0</v>
      </c>
      <c r="N81" s="21"/>
      <c r="O81" s="21"/>
      <c r="P81" s="21"/>
      <c r="Q81" s="21"/>
      <c r="R81" s="21">
        <v>5351</v>
      </c>
      <c r="S81" s="21">
        <v>2675</v>
      </c>
      <c r="T81" s="21"/>
      <c r="U81" s="21"/>
      <c r="V81" s="21">
        <v>2982</v>
      </c>
      <c r="W81" s="21">
        <v>1491</v>
      </c>
      <c r="X81" s="21">
        <v>2982</v>
      </c>
      <c r="Y81" s="21">
        <v>1491</v>
      </c>
      <c r="Z81" s="21">
        <v>3270</v>
      </c>
      <c r="AA81" s="21">
        <v>1635</v>
      </c>
      <c r="AB81" s="21"/>
      <c r="AC81" s="21"/>
      <c r="AD81" s="21">
        <v>3045</v>
      </c>
      <c r="AE81" s="21">
        <v>1522</v>
      </c>
      <c r="AF81" s="21"/>
      <c r="AG81" s="21"/>
      <c r="AH81" s="21"/>
      <c r="AI81" s="21"/>
      <c r="AJ81" s="21"/>
      <c r="AK81" s="21"/>
      <c r="AL81" s="21"/>
      <c r="AM81" s="21"/>
      <c r="AN81" s="41">
        <f t="shared" si="64"/>
        <v>17630</v>
      </c>
      <c r="AO81" s="41">
        <f t="shared" si="64"/>
        <v>8814</v>
      </c>
      <c r="AP81" s="70">
        <f t="shared" si="65"/>
        <v>17630</v>
      </c>
      <c r="AQ81" s="70">
        <f t="shared" si="65"/>
        <v>8814</v>
      </c>
    </row>
    <row r="82" spans="1:43" ht="10.5">
      <c r="A82" s="73" t="s">
        <v>249</v>
      </c>
      <c r="B82" s="21"/>
      <c r="C82" s="21"/>
      <c r="D82" s="21"/>
      <c r="E82" s="21">
        <v>21</v>
      </c>
      <c r="F82" s="21"/>
      <c r="G82" s="21"/>
      <c r="H82" s="21"/>
      <c r="I82" s="21"/>
      <c r="J82" s="21"/>
      <c r="K82" s="21">
        <v>60</v>
      </c>
      <c r="L82" s="41">
        <f t="shared" si="67"/>
        <v>0</v>
      </c>
      <c r="M82" s="41">
        <f t="shared" si="67"/>
        <v>81</v>
      </c>
      <c r="N82" s="21"/>
      <c r="O82" s="21">
        <v>234</v>
      </c>
      <c r="P82" s="21"/>
      <c r="Q82" s="21"/>
      <c r="R82" s="21"/>
      <c r="S82" s="21"/>
      <c r="T82" s="21"/>
      <c r="U82" s="21">
        <v>85</v>
      </c>
      <c r="V82" s="21"/>
      <c r="W82" s="21">
        <v>77</v>
      </c>
      <c r="X82" s="21"/>
      <c r="Y82" s="21">
        <v>189</v>
      </c>
      <c r="Z82" s="21"/>
      <c r="AA82" s="21">
        <v>91</v>
      </c>
      <c r="AB82" s="21"/>
      <c r="AC82" s="21">
        <v>210</v>
      </c>
      <c r="AD82" s="21"/>
      <c r="AE82" s="21">
        <v>46</v>
      </c>
      <c r="AF82" s="21"/>
      <c r="AG82" s="21"/>
      <c r="AH82" s="21"/>
      <c r="AI82" s="21"/>
      <c r="AJ82" s="21"/>
      <c r="AK82" s="21">
        <v>457</v>
      </c>
      <c r="AL82" s="21"/>
      <c r="AM82" s="21"/>
      <c r="AN82" s="41">
        <f>N82+P82+R82+T82+V82+X82+Z82+AB82+AD82+AF82+AH82+AJ82+AL82</f>
        <v>0</v>
      </c>
      <c r="AO82" s="41">
        <f>O82+Q82+S82+U82+W82+Y82+AA82+AC82+AE82+AG82+AI82+AK82+AM82</f>
        <v>1389</v>
      </c>
      <c r="AP82" s="70">
        <f>L82+AN82</f>
        <v>0</v>
      </c>
      <c r="AQ82" s="70">
        <f>M82+AO82</f>
        <v>1470</v>
      </c>
    </row>
    <row r="83" spans="1:43" s="19" customFormat="1" ht="9">
      <c r="A83" s="74" t="s">
        <v>106</v>
      </c>
      <c r="B83" s="25">
        <f>SUM(B80:B82)</f>
        <v>0</v>
      </c>
      <c r="C83" s="25">
        <f aca="true" t="shared" si="68" ref="C83:AQ83">SUM(C80:C82)</f>
        <v>0</v>
      </c>
      <c r="D83" s="25">
        <f t="shared" si="68"/>
        <v>0</v>
      </c>
      <c r="E83" s="25">
        <f t="shared" si="68"/>
        <v>21</v>
      </c>
      <c r="F83" s="25">
        <f t="shared" si="68"/>
        <v>0</v>
      </c>
      <c r="G83" s="25">
        <f t="shared" si="68"/>
        <v>0</v>
      </c>
      <c r="H83" s="25">
        <f t="shared" si="68"/>
        <v>0</v>
      </c>
      <c r="I83" s="25">
        <f t="shared" si="68"/>
        <v>0</v>
      </c>
      <c r="J83" s="25">
        <f t="shared" si="68"/>
        <v>0</v>
      </c>
      <c r="K83" s="25">
        <f t="shared" si="68"/>
        <v>60</v>
      </c>
      <c r="L83" s="42">
        <f t="shared" si="68"/>
        <v>0</v>
      </c>
      <c r="M83" s="42">
        <f t="shared" si="68"/>
        <v>81</v>
      </c>
      <c r="N83" s="25">
        <f t="shared" si="68"/>
        <v>0</v>
      </c>
      <c r="O83" s="25">
        <f t="shared" si="68"/>
        <v>234</v>
      </c>
      <c r="P83" s="25">
        <f t="shared" si="68"/>
        <v>0</v>
      </c>
      <c r="Q83" s="25">
        <f t="shared" si="68"/>
        <v>0</v>
      </c>
      <c r="R83" s="25">
        <f t="shared" si="68"/>
        <v>23186</v>
      </c>
      <c r="S83" s="25">
        <f t="shared" si="68"/>
        <v>11593</v>
      </c>
      <c r="T83" s="25">
        <f t="shared" si="68"/>
        <v>0</v>
      </c>
      <c r="U83" s="25">
        <f t="shared" si="68"/>
        <v>85</v>
      </c>
      <c r="V83" s="25">
        <f t="shared" si="68"/>
        <v>6908</v>
      </c>
      <c r="W83" s="25">
        <f t="shared" si="68"/>
        <v>3531</v>
      </c>
      <c r="X83" s="25">
        <f t="shared" si="68"/>
        <v>6908</v>
      </c>
      <c r="Y83" s="25">
        <f t="shared" si="68"/>
        <v>3643</v>
      </c>
      <c r="Z83" s="25">
        <f t="shared" si="68"/>
        <v>9810</v>
      </c>
      <c r="AA83" s="25">
        <f t="shared" si="68"/>
        <v>4996</v>
      </c>
      <c r="AB83" s="25">
        <f t="shared" si="68"/>
        <v>0</v>
      </c>
      <c r="AC83" s="25">
        <f t="shared" si="68"/>
        <v>210</v>
      </c>
      <c r="AD83" s="25">
        <f t="shared" si="68"/>
        <v>33493</v>
      </c>
      <c r="AE83" s="25">
        <f t="shared" si="68"/>
        <v>16792</v>
      </c>
      <c r="AF83" s="25">
        <f t="shared" si="68"/>
        <v>0</v>
      </c>
      <c r="AG83" s="25">
        <f t="shared" si="68"/>
        <v>0</v>
      </c>
      <c r="AH83" s="25">
        <f t="shared" si="68"/>
        <v>0</v>
      </c>
      <c r="AI83" s="25">
        <f t="shared" si="68"/>
        <v>0</v>
      </c>
      <c r="AJ83" s="25">
        <f t="shared" si="68"/>
        <v>0</v>
      </c>
      <c r="AK83" s="25">
        <f t="shared" si="68"/>
        <v>457</v>
      </c>
      <c r="AL83" s="25">
        <f t="shared" si="68"/>
        <v>0</v>
      </c>
      <c r="AM83" s="25">
        <f t="shared" si="68"/>
        <v>0</v>
      </c>
      <c r="AN83" s="42">
        <f t="shared" si="68"/>
        <v>80305</v>
      </c>
      <c r="AO83" s="42">
        <f t="shared" si="68"/>
        <v>41541</v>
      </c>
      <c r="AP83" s="128">
        <f t="shared" si="68"/>
        <v>80305</v>
      </c>
      <c r="AQ83" s="128">
        <f t="shared" si="68"/>
        <v>41622</v>
      </c>
    </row>
    <row r="84" spans="1:43" s="18" customFormat="1" ht="10.5">
      <c r="A84" s="76" t="s">
        <v>26</v>
      </c>
      <c r="B84" s="27">
        <f>B66+B67+B68+B69+B70+B76+B79+B83</f>
        <v>33211</v>
      </c>
      <c r="C84" s="27">
        <f aca="true" t="shared" si="69" ref="C84:M84">C66+C67+C68+C69+C70+C76+C79+C83</f>
        <v>27581</v>
      </c>
      <c r="D84" s="27">
        <f t="shared" si="69"/>
        <v>1895</v>
      </c>
      <c r="E84" s="27">
        <f t="shared" si="69"/>
        <v>21</v>
      </c>
      <c r="F84" s="27">
        <f t="shared" si="69"/>
        <v>608</v>
      </c>
      <c r="G84" s="27">
        <f t="shared" si="69"/>
        <v>2518</v>
      </c>
      <c r="H84" s="27">
        <f t="shared" si="69"/>
        <v>944</v>
      </c>
      <c r="I84" s="27">
        <f t="shared" si="69"/>
        <v>1765</v>
      </c>
      <c r="J84" s="27">
        <f t="shared" si="69"/>
        <v>23447</v>
      </c>
      <c r="K84" s="27">
        <f t="shared" si="69"/>
        <v>11586</v>
      </c>
      <c r="L84" s="131">
        <f t="shared" si="69"/>
        <v>60105</v>
      </c>
      <c r="M84" s="131">
        <f t="shared" si="69"/>
        <v>43471</v>
      </c>
      <c r="N84" s="27">
        <f aca="true" t="shared" si="70" ref="N84:AQ84">N66+N67+N68+N69+N70+N76+N79+N83</f>
        <v>5</v>
      </c>
      <c r="O84" s="27">
        <f t="shared" si="70"/>
        <v>241</v>
      </c>
      <c r="P84" s="27">
        <f t="shared" si="70"/>
        <v>2213</v>
      </c>
      <c r="Q84" s="27">
        <f t="shared" si="70"/>
        <v>0</v>
      </c>
      <c r="R84" s="27">
        <f t="shared" si="70"/>
        <v>24586</v>
      </c>
      <c r="S84" s="27">
        <f t="shared" si="70"/>
        <v>12728</v>
      </c>
      <c r="T84" s="27">
        <f t="shared" si="70"/>
        <v>3468</v>
      </c>
      <c r="U84" s="27">
        <f t="shared" si="70"/>
        <v>1846</v>
      </c>
      <c r="V84" s="27">
        <f t="shared" si="70"/>
        <v>6908</v>
      </c>
      <c r="W84" s="27">
        <f t="shared" si="70"/>
        <v>3531</v>
      </c>
      <c r="X84" s="27">
        <f t="shared" si="70"/>
        <v>6908</v>
      </c>
      <c r="Y84" s="27">
        <f t="shared" si="70"/>
        <v>3643</v>
      </c>
      <c r="Z84" s="27">
        <f t="shared" si="70"/>
        <v>9810</v>
      </c>
      <c r="AA84" s="27">
        <f t="shared" si="70"/>
        <v>4996</v>
      </c>
      <c r="AB84" s="27">
        <f t="shared" si="70"/>
        <v>8550</v>
      </c>
      <c r="AC84" s="27">
        <f t="shared" si="70"/>
        <v>5985</v>
      </c>
      <c r="AD84" s="27">
        <f t="shared" si="70"/>
        <v>86029</v>
      </c>
      <c r="AE84" s="27">
        <f t="shared" si="70"/>
        <v>38918</v>
      </c>
      <c r="AF84" s="27">
        <f t="shared" si="70"/>
        <v>4305</v>
      </c>
      <c r="AG84" s="27">
        <f t="shared" si="70"/>
        <v>240</v>
      </c>
      <c r="AH84" s="27">
        <f t="shared" si="70"/>
        <v>1581</v>
      </c>
      <c r="AI84" s="27">
        <f t="shared" si="70"/>
        <v>1622</v>
      </c>
      <c r="AJ84" s="27">
        <f t="shared" si="70"/>
        <v>0</v>
      </c>
      <c r="AK84" s="27">
        <f t="shared" si="70"/>
        <v>457</v>
      </c>
      <c r="AL84" s="27">
        <f>AL66+AL67+AL68+AL69+AL70+AL76+AL79+AL83</f>
        <v>0</v>
      </c>
      <c r="AM84" s="27">
        <f>AM66+AM67+AM68+AM69+AM70+AM76+AM79+AM83</f>
        <v>635</v>
      </c>
      <c r="AN84" s="131">
        <f t="shared" si="70"/>
        <v>154363</v>
      </c>
      <c r="AO84" s="131">
        <f t="shared" si="70"/>
        <v>74842</v>
      </c>
      <c r="AP84" s="129">
        <f t="shared" si="70"/>
        <v>214468</v>
      </c>
      <c r="AQ84" s="129">
        <f t="shared" si="70"/>
        <v>118313</v>
      </c>
    </row>
    <row r="85" spans="1:43" ht="10.5">
      <c r="A85" s="73" t="s">
        <v>100</v>
      </c>
      <c r="B85" s="21">
        <f>B84-B63</f>
        <v>11553</v>
      </c>
      <c r="C85" s="21">
        <f aca="true" t="shared" si="71" ref="C85:M85">C84-C63</f>
        <v>14854</v>
      </c>
      <c r="D85" s="21">
        <f t="shared" si="71"/>
        <v>-5286</v>
      </c>
      <c r="E85" s="21">
        <f t="shared" si="71"/>
        <v>-7223</v>
      </c>
      <c r="F85" s="21">
        <f t="shared" si="71"/>
        <v>-80</v>
      </c>
      <c r="G85" s="21">
        <f t="shared" si="71"/>
        <v>626</v>
      </c>
      <c r="H85" s="21">
        <f t="shared" si="71"/>
        <v>-79</v>
      </c>
      <c r="I85" s="21">
        <f t="shared" si="71"/>
        <v>49</v>
      </c>
      <c r="J85" s="21">
        <f t="shared" si="71"/>
        <v>-1</v>
      </c>
      <c r="K85" s="21">
        <f t="shared" si="71"/>
        <v>52</v>
      </c>
      <c r="L85" s="41">
        <f t="shared" si="71"/>
        <v>6107</v>
      </c>
      <c r="M85" s="41">
        <f t="shared" si="71"/>
        <v>8358</v>
      </c>
      <c r="N85" s="21">
        <f aca="true" t="shared" si="72" ref="N85:AQ85">N84-N63</f>
        <v>5</v>
      </c>
      <c r="O85" s="21">
        <f t="shared" si="72"/>
        <v>-5528</v>
      </c>
      <c r="P85" s="21">
        <f t="shared" si="72"/>
        <v>0</v>
      </c>
      <c r="Q85" s="21">
        <f t="shared" si="72"/>
        <v>-291</v>
      </c>
      <c r="R85" s="21">
        <f t="shared" si="72"/>
        <v>-3440</v>
      </c>
      <c r="S85" s="21">
        <f t="shared" si="72"/>
        <v>-870</v>
      </c>
      <c r="T85" s="21">
        <f t="shared" si="72"/>
        <v>76</v>
      </c>
      <c r="U85" s="21">
        <f t="shared" si="72"/>
        <v>106</v>
      </c>
      <c r="V85" s="21">
        <f t="shared" si="72"/>
        <v>-126</v>
      </c>
      <c r="W85" s="21">
        <f t="shared" si="72"/>
        <v>498</v>
      </c>
      <c r="X85" s="21">
        <f t="shared" si="72"/>
        <v>-4245</v>
      </c>
      <c r="Y85" s="21">
        <f t="shared" si="72"/>
        <v>-1238</v>
      </c>
      <c r="Z85" s="21">
        <f t="shared" si="72"/>
        <v>1094</v>
      </c>
      <c r="AA85" s="21">
        <f t="shared" si="72"/>
        <v>1258</v>
      </c>
      <c r="AB85" s="21">
        <f t="shared" si="72"/>
        <v>-916</v>
      </c>
      <c r="AC85" s="21">
        <f t="shared" si="72"/>
        <v>1210</v>
      </c>
      <c r="AD85" s="21">
        <f t="shared" si="72"/>
        <v>61</v>
      </c>
      <c r="AE85" s="21">
        <f t="shared" si="72"/>
        <v>32368</v>
      </c>
      <c r="AF85" s="21">
        <f t="shared" si="72"/>
        <v>1062</v>
      </c>
      <c r="AG85" s="21">
        <f t="shared" si="72"/>
        <v>240</v>
      </c>
      <c r="AH85" s="21">
        <f t="shared" si="72"/>
        <v>338</v>
      </c>
      <c r="AI85" s="21">
        <f t="shared" si="72"/>
        <v>1622</v>
      </c>
      <c r="AJ85" s="21">
        <f t="shared" si="72"/>
        <v>0</v>
      </c>
      <c r="AK85" s="21">
        <f t="shared" si="72"/>
        <v>-32522</v>
      </c>
      <c r="AL85" s="21">
        <f>AL84-AL63</f>
        <v>0</v>
      </c>
      <c r="AM85" s="21">
        <f>AM84-AM63</f>
        <v>-145</v>
      </c>
      <c r="AN85" s="41">
        <f t="shared" si="72"/>
        <v>-6091</v>
      </c>
      <c r="AO85" s="41">
        <f t="shared" si="72"/>
        <v>-3292</v>
      </c>
      <c r="AP85" s="70">
        <f t="shared" si="72"/>
        <v>16</v>
      </c>
      <c r="AQ85" s="70">
        <f t="shared" si="72"/>
        <v>5066</v>
      </c>
    </row>
    <row r="87" ht="10.5">
      <c r="AP87" s="68" t="s">
        <v>153</v>
      </c>
    </row>
  </sheetData>
  <sheetProtection/>
  <mergeCells count="21">
    <mergeCell ref="J1:K1"/>
    <mergeCell ref="L1:M1"/>
    <mergeCell ref="B1:C1"/>
    <mergeCell ref="D1:E1"/>
    <mergeCell ref="F1:G1"/>
    <mergeCell ref="H1:I1"/>
    <mergeCell ref="N1:O1"/>
    <mergeCell ref="P1:Q1"/>
    <mergeCell ref="R1:S1"/>
    <mergeCell ref="T1:U1"/>
    <mergeCell ref="V1:W1"/>
    <mergeCell ref="X1:Y1"/>
    <mergeCell ref="Z1:AA1"/>
    <mergeCell ref="AB1:AC1"/>
    <mergeCell ref="AN1:AO1"/>
    <mergeCell ref="AP1:AQ1"/>
    <mergeCell ref="AD1:AE1"/>
    <mergeCell ref="AF1:AG1"/>
    <mergeCell ref="AH1:AI1"/>
    <mergeCell ref="AJ1:AK1"/>
    <mergeCell ref="AL1:AM1"/>
  </mergeCells>
  <printOptions horizontalCentered="1"/>
  <pageMargins left="0.21" right="0.16" top="0.7480314960629921" bottom="0.4330708661417323" header="0.35433070866141736" footer="0.2362204724409449"/>
  <pageSetup horizontalDpi="600" verticalDpi="600" orientation="portrait" paperSize="8" r:id="rId1"/>
  <headerFooter alignWithMargins="0">
    <oddHeader>&amp;C&amp;"Times New Roman,Félkövér dőlt"Polgári Kistérség Többcélú Társulás 2013.évi költségvetési bevételei és kiadásai feladatonként
&amp;R&amp;"Times New Roman,Dőlt"&amp;9
adatok ezer forintban</oddHeader>
  </headerFooter>
  <rowBreaks count="1" manualBreakCount="1">
    <brk id="64" max="255" man="1"/>
  </rowBreaks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2.7109375" style="133" bestFit="1" customWidth="1"/>
    <col min="2" max="2" width="17.7109375" style="151" bestFit="1" customWidth="1"/>
    <col min="3" max="3" width="11.00390625" style="151" customWidth="1"/>
    <col min="4" max="4" width="9.140625" style="151" customWidth="1"/>
    <col min="5" max="5" width="12.00390625" style="151" customWidth="1"/>
    <col min="6" max="6" width="16.140625" style="151" customWidth="1"/>
    <col min="7" max="16384" width="9.140625" style="133" customWidth="1"/>
  </cols>
  <sheetData>
    <row r="1" spans="1:6" ht="15">
      <c r="A1" s="250" t="s">
        <v>0</v>
      </c>
      <c r="B1" s="252" t="s">
        <v>302</v>
      </c>
      <c r="C1" s="254" t="s">
        <v>303</v>
      </c>
      <c r="D1" s="254" t="s">
        <v>304</v>
      </c>
      <c r="E1" s="254" t="s">
        <v>305</v>
      </c>
      <c r="F1" s="248" t="s">
        <v>306</v>
      </c>
    </row>
    <row r="2" spans="1:6" ht="15.75" thickBot="1">
      <c r="A2" s="251"/>
      <c r="B2" s="253"/>
      <c r="C2" s="255"/>
      <c r="D2" s="255"/>
      <c r="E2" s="255"/>
      <c r="F2" s="249"/>
    </row>
    <row r="3" spans="1:6" ht="15.75" thickTop="1">
      <c r="A3" s="134" t="s">
        <v>307</v>
      </c>
      <c r="B3" s="135">
        <v>55360</v>
      </c>
      <c r="C3" s="135">
        <v>550</v>
      </c>
      <c r="D3" s="135">
        <v>275</v>
      </c>
      <c r="E3" s="135">
        <v>256</v>
      </c>
      <c r="F3" s="136">
        <f>(E3-(C3-D3))*B3</f>
        <v>-1051840</v>
      </c>
    </row>
    <row r="4" spans="1:6" ht="15">
      <c r="A4" s="137" t="s">
        <v>308</v>
      </c>
      <c r="B4" s="138">
        <v>145000</v>
      </c>
      <c r="C4" s="138">
        <v>123</v>
      </c>
      <c r="D4" s="138">
        <v>62</v>
      </c>
      <c r="E4" s="138">
        <v>62</v>
      </c>
      <c r="F4" s="139">
        <f>(E4-(C4-D4))*B4</f>
        <v>145000</v>
      </c>
    </row>
    <row r="5" spans="1:6" ht="15">
      <c r="A5" s="137" t="s">
        <v>309</v>
      </c>
      <c r="B5" s="138">
        <v>109000</v>
      </c>
      <c r="C5" s="138">
        <v>60</v>
      </c>
      <c r="D5" s="138">
        <v>30</v>
      </c>
      <c r="E5" s="138">
        <v>28</v>
      </c>
      <c r="F5" s="139">
        <f>(E5-(C5-D5))*B5</f>
        <v>-218000</v>
      </c>
    </row>
    <row r="6" spans="1:6" s="143" customFormat="1" ht="15">
      <c r="A6" s="140" t="s">
        <v>1</v>
      </c>
      <c r="B6" s="141"/>
      <c r="C6" s="141"/>
      <c r="D6" s="141"/>
      <c r="E6" s="141"/>
      <c r="F6" s="142">
        <f>SUM(F3:F5)</f>
        <v>-1124840</v>
      </c>
    </row>
    <row r="7" spans="1:6" ht="15">
      <c r="A7" s="137" t="s">
        <v>310</v>
      </c>
      <c r="B7" s="138"/>
      <c r="C7" s="138"/>
      <c r="D7" s="138"/>
      <c r="E7" s="138"/>
      <c r="F7" s="139"/>
    </row>
    <row r="8" spans="1:6" ht="15">
      <c r="A8" s="137" t="s">
        <v>307</v>
      </c>
      <c r="B8" s="138">
        <v>5536</v>
      </c>
      <c r="C8" s="138">
        <v>550</v>
      </c>
      <c r="D8" s="138">
        <v>275</v>
      </c>
      <c r="E8" s="138">
        <v>256</v>
      </c>
      <c r="F8" s="139">
        <f>(E8-(C8-D8))*B8</f>
        <v>-105184</v>
      </c>
    </row>
    <row r="9" spans="1:6" ht="15">
      <c r="A9" s="137" t="s">
        <v>308</v>
      </c>
      <c r="B9" s="138">
        <v>43500</v>
      </c>
      <c r="C9" s="138">
        <v>123</v>
      </c>
      <c r="D9" s="138">
        <v>62</v>
      </c>
      <c r="E9" s="138">
        <v>62</v>
      </c>
      <c r="F9" s="139">
        <f>(E9-(C9-D9))*B9</f>
        <v>43500</v>
      </c>
    </row>
    <row r="10" spans="1:6" ht="15">
      <c r="A10" s="137" t="s">
        <v>309</v>
      </c>
      <c r="B10" s="138">
        <v>54500</v>
      </c>
      <c r="C10" s="138">
        <v>60</v>
      </c>
      <c r="D10" s="138">
        <v>30</v>
      </c>
      <c r="E10" s="138">
        <v>28</v>
      </c>
      <c r="F10" s="139">
        <f>(E10-(C10-D10))*B10</f>
        <v>-109000</v>
      </c>
    </row>
    <row r="11" spans="1:6" s="143" customFormat="1" ht="15">
      <c r="A11" s="140" t="s">
        <v>1</v>
      </c>
      <c r="B11" s="141"/>
      <c r="C11" s="141"/>
      <c r="D11" s="141"/>
      <c r="E11" s="141"/>
      <c r="F11" s="142">
        <f>SUM(F8:F10)</f>
        <v>-170684</v>
      </c>
    </row>
    <row r="12" spans="1:6" s="147" customFormat="1" ht="15">
      <c r="A12" s="144" t="s">
        <v>311</v>
      </c>
      <c r="B12" s="145"/>
      <c r="C12" s="145"/>
      <c r="D12" s="145"/>
      <c r="E12" s="145"/>
      <c r="F12" s="146">
        <f>F6+F11</f>
        <v>-1295524</v>
      </c>
    </row>
    <row r="13" spans="1:6" ht="15">
      <c r="A13" s="148"/>
      <c r="B13" s="149"/>
      <c r="C13" s="149"/>
      <c r="D13" s="149"/>
      <c r="E13" s="149"/>
      <c r="F13" s="150"/>
    </row>
  </sheetData>
  <sheetProtection/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Kistérség Többcélú Társulás</dc:creator>
  <cp:keywords/>
  <dc:description/>
  <cp:lastModifiedBy>Csépányiné Bartók Margit</cp:lastModifiedBy>
  <cp:lastPrinted>2013-09-11T07:34:55Z</cp:lastPrinted>
  <dcterms:created xsi:type="dcterms:W3CDTF">2012-02-09T10:36:33Z</dcterms:created>
  <dcterms:modified xsi:type="dcterms:W3CDTF">2013-09-17T05:05:54Z</dcterms:modified>
  <cp:category/>
  <cp:version/>
  <cp:contentType/>
  <cp:contentStatus/>
</cp:coreProperties>
</file>